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6\"/>
    </mc:Choice>
  </mc:AlternateContent>
  <xr:revisionPtr revIDLastSave="0" documentId="13_ncr:1_{C9B5ED4D-480F-4882-8F60-E74CEAF88D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nées" sheetId="1" r:id="rId1"/>
    <sheet name="Fig. Flux" sheetId="2" r:id="rId2"/>
    <sheet name="Fig. VN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9" i="1" l="1"/>
  <c r="E60" i="1"/>
  <c r="A79" i="1"/>
  <c r="A78" i="1"/>
  <c r="E71" i="1"/>
  <c r="E70" i="1"/>
  <c r="E69" i="1"/>
  <c r="A71" i="1"/>
  <c r="A70" i="1"/>
  <c r="A69" i="1"/>
  <c r="E56" i="1"/>
  <c r="E47" i="1"/>
  <c r="E68" i="1" l="1"/>
  <c r="A92" i="1"/>
  <c r="A91" i="1"/>
  <c r="A89" i="1"/>
  <c r="E78" i="1" l="1"/>
  <c r="E77" i="1" s="1"/>
  <c r="E89" i="1"/>
  <c r="B165" i="1"/>
  <c r="H177" i="1" l="1"/>
  <c r="G177" i="1"/>
  <c r="F177" i="1"/>
  <c r="E177" i="1"/>
  <c r="D177" i="1"/>
  <c r="E173" i="1"/>
  <c r="F173" i="1"/>
  <c r="G173" i="1"/>
  <c r="D173" i="1"/>
  <c r="D179" i="1" s="1"/>
  <c r="H163" i="1"/>
  <c r="H164" i="1"/>
  <c r="D163" i="1"/>
  <c r="D164" i="1"/>
  <c r="F163" i="1"/>
  <c r="G163" i="1"/>
  <c r="E163" i="1"/>
  <c r="F164" i="1"/>
  <c r="G164" i="1"/>
  <c r="E164" i="1"/>
  <c r="E166" i="1"/>
  <c r="F166" i="1"/>
  <c r="G166" i="1"/>
  <c r="H166" i="1"/>
  <c r="D166" i="1"/>
  <c r="H172" i="1"/>
  <c r="H173" i="1" s="1"/>
  <c r="H159" i="1"/>
  <c r="H160" i="1" s="1"/>
  <c r="G159" i="1"/>
  <c r="G160" i="1" s="1"/>
  <c r="F159" i="1"/>
  <c r="F160" i="1" s="1"/>
  <c r="E159" i="1"/>
  <c r="E160" i="1" s="1"/>
  <c r="D159" i="1"/>
  <c r="D160" i="1" s="1"/>
  <c r="E75" i="1"/>
  <c r="E55" i="1"/>
  <c r="E54" i="1"/>
  <c r="E46" i="1"/>
  <c r="E37" i="1"/>
  <c r="E45" i="1" s="1"/>
  <c r="E44" i="1"/>
  <c r="E41" i="1"/>
  <c r="C103" i="1"/>
  <c r="A60" i="1"/>
  <c r="A59" i="1"/>
  <c r="A56" i="1"/>
  <c r="A55" i="1"/>
  <c r="A54" i="1"/>
  <c r="A47" i="1"/>
  <c r="A46" i="1"/>
  <c r="A45" i="1"/>
  <c r="A44" i="1"/>
  <c r="E43" i="1" l="1"/>
  <c r="E82" i="1"/>
  <c r="E91" i="1"/>
  <c r="E53" i="1"/>
  <c r="E179" i="1"/>
  <c r="F179" i="1"/>
  <c r="H179" i="1"/>
  <c r="G179" i="1"/>
  <c r="D165" i="1"/>
  <c r="H165" i="1" s="1"/>
  <c r="H167" i="1" s="1"/>
  <c r="E167" i="1"/>
  <c r="G167" i="1"/>
  <c r="F167" i="1"/>
  <c r="E73" i="1"/>
  <c r="E90" i="1" s="1"/>
  <c r="E86" i="1" l="1"/>
  <c r="E81" i="1"/>
  <c r="E59" i="1"/>
  <c r="D167" i="1"/>
  <c r="E49" i="1"/>
  <c r="A96" i="1" s="1"/>
  <c r="E58" i="1" l="1"/>
  <c r="E62" i="1" s="1"/>
  <c r="E85" i="1" l="1"/>
  <c r="E84" i="1" s="1"/>
  <c r="E92" i="1" s="1"/>
  <c r="E88" i="1" s="1"/>
  <c r="F96" i="1" s="1"/>
  <c r="E64" i="1"/>
  <c r="E96" i="1" l="1"/>
  <c r="D96" i="1"/>
  <c r="C96" i="1"/>
  <c r="B96" i="1"/>
  <c r="D169" i="1"/>
  <c r="B135" i="1" l="1"/>
  <c r="B127" i="1"/>
  <c r="B121" i="1"/>
  <c r="E114" i="1"/>
  <c r="B139" i="1"/>
  <c r="B131" i="1"/>
  <c r="B120" i="1"/>
  <c r="B144" i="1"/>
  <c r="B138" i="1"/>
  <c r="B143" i="1"/>
  <c r="B129" i="1"/>
  <c r="B136" i="1"/>
  <c r="B122" i="1"/>
  <c r="B128" i="1"/>
  <c r="B140" i="1"/>
  <c r="B125" i="1"/>
  <c r="B124" i="1"/>
  <c r="B126" i="1"/>
  <c r="B114" i="1"/>
  <c r="E119" i="1" s="1"/>
  <c r="B133" i="1"/>
  <c r="B130" i="1"/>
  <c r="B119" i="1"/>
  <c r="B137" i="1"/>
  <c r="B132" i="1"/>
  <c r="B123" i="1"/>
  <c r="B134" i="1"/>
  <c r="B142" i="1"/>
  <c r="B141" i="1"/>
  <c r="D181" i="1"/>
  <c r="D187" i="1"/>
  <c r="H169" i="1"/>
  <c r="H187" i="1" s="1"/>
  <c r="F169" i="1"/>
  <c r="F187" i="1" s="1"/>
  <c r="E169" i="1"/>
  <c r="E187" i="1" s="1"/>
  <c r="G169" i="1"/>
  <c r="E126" i="1" l="1"/>
  <c r="G181" i="1"/>
  <c r="G187" i="1"/>
  <c r="D183" i="1"/>
  <c r="D185" i="1" s="1"/>
  <c r="E181" i="1"/>
  <c r="F181" i="1"/>
  <c r="H181" i="1"/>
  <c r="H183" i="1" l="1"/>
  <c r="H185" i="1" s="1"/>
  <c r="F183" i="1"/>
  <c r="F185" i="1" s="1"/>
  <c r="G183" i="1"/>
  <c r="G185" i="1" s="1"/>
  <c r="E183" i="1"/>
  <c r="E185" i="1" s="1"/>
</calcChain>
</file>

<file path=xl/sharedStrings.xml><?xml version="1.0" encoding="utf-8"?>
<sst xmlns="http://schemas.openxmlformats.org/spreadsheetml/2006/main" count="126" uniqueCount="102">
  <si>
    <t xml:space="preserve"> ans</t>
  </si>
  <si>
    <t xml:space="preserve"> mois</t>
  </si>
  <si>
    <t xml:space="preserve"> </t>
  </si>
  <si>
    <t>* Détermination du flux initial (t=0)</t>
  </si>
  <si>
    <t xml:space="preserve">  Excédent brut d'exploitation</t>
  </si>
  <si>
    <t>F0</t>
  </si>
  <si>
    <t>F1</t>
  </si>
  <si>
    <t>F2</t>
  </si>
  <si>
    <t>F3</t>
  </si>
  <si>
    <t>F4</t>
  </si>
  <si>
    <t>F5</t>
  </si>
  <si>
    <t xml:space="preserve">r = </t>
  </si>
  <si>
    <t xml:space="preserve">VNP = </t>
  </si>
  <si>
    <t>TRI =</t>
  </si>
  <si>
    <t>Calcul de la VNP pour différentes valeurs du taux d'actualisation</t>
  </si>
  <si>
    <t>r</t>
  </si>
  <si>
    <t>VNP</t>
  </si>
  <si>
    <t>Actifs immobilisés</t>
  </si>
  <si>
    <t xml:space="preserve">   Prix d'achat de la machine</t>
  </si>
  <si>
    <t xml:space="preserve">   Durée d'amortissement de la machine</t>
  </si>
  <si>
    <t>Achats</t>
  </si>
  <si>
    <t xml:space="preserve">   Quantité achetée par mois </t>
  </si>
  <si>
    <t xml:space="preserve"> unités</t>
  </si>
  <si>
    <t xml:space="preserve">   Prix d'achat</t>
  </si>
  <si>
    <t xml:space="preserve">   Durée du crédit fournisseurs</t>
  </si>
  <si>
    <t>Stocks</t>
  </si>
  <si>
    <t xml:space="preserve">   Stock de matières premières</t>
  </si>
  <si>
    <t xml:space="preserve">   Stock de produits finis</t>
  </si>
  <si>
    <t>Ventes</t>
  </si>
  <si>
    <t xml:space="preserve">   Quantité vendue par mois </t>
  </si>
  <si>
    <t xml:space="preserve">   Durée du crédit clients</t>
  </si>
  <si>
    <t xml:space="preserve">   Prix de revente de la machine</t>
  </si>
  <si>
    <t>Exploitation</t>
  </si>
  <si>
    <t>Fiscalité</t>
  </si>
  <si>
    <t xml:space="preserve">   Taux d'imposition sur les sociétés</t>
  </si>
  <si>
    <t>Coût de revient unitaire</t>
  </si>
  <si>
    <t xml:space="preserve">  Prix d'achat de la machine</t>
  </si>
  <si>
    <t xml:space="preserve">  Résultat d'exploitation</t>
  </si>
  <si>
    <t xml:space="preserve">  Flux intermédiaires = +EBE - IMPp</t>
  </si>
  <si>
    <r>
      <t xml:space="preserve">  Flux initial = -ACQ -</t>
    </r>
    <r>
      <rPr>
        <sz val="12"/>
        <rFont val="Calibri"/>
        <family val="2"/>
      </rPr>
      <t>Δ</t>
    </r>
    <r>
      <rPr>
        <sz val="12"/>
        <rFont val="Times New Roman"/>
        <family val="1"/>
      </rPr>
      <t>BFRexp</t>
    </r>
  </si>
  <si>
    <t xml:space="preserve">      Plus-value de cession</t>
  </si>
  <si>
    <t>* Critère de la VNP</t>
  </si>
  <si>
    <t>* Critère du TRI</t>
  </si>
  <si>
    <t>Structure de financement</t>
  </si>
  <si>
    <t xml:space="preserve">  Dette</t>
  </si>
  <si>
    <t xml:space="preserve">  Fonds propres</t>
  </si>
  <si>
    <t>Taux de la dette</t>
  </si>
  <si>
    <t>Taux de rémunération fonds propres</t>
  </si>
  <si>
    <t xml:space="preserve">  Impôt sur les sociétés</t>
  </si>
  <si>
    <t>* Détermination du flux final (t=5)</t>
  </si>
  <si>
    <t>Séquence de flux du projet</t>
  </si>
  <si>
    <t>Etape 0 : détermination des paramètres pour la séquence de flux</t>
  </si>
  <si>
    <t xml:space="preserve">   Prix de vente</t>
  </si>
  <si>
    <t>Etape 1 : détermination des flux financiers du projet</t>
  </si>
  <si>
    <t>Etape 2 : calcul du taux d'actualisation</t>
  </si>
  <si>
    <t>Etape 3 : calcul de la VNP et du TRI</t>
  </si>
  <si>
    <t>Etape 4 : décision d'investissement</t>
  </si>
  <si>
    <t xml:space="preserve">   Fréquence des flux</t>
  </si>
  <si>
    <t xml:space="preserve">   Horizon d'investissement</t>
  </si>
  <si>
    <t>Prix de la machine</t>
  </si>
  <si>
    <t>Taux</t>
  </si>
  <si>
    <t>Détails de la comptabilité</t>
  </si>
  <si>
    <t>Année 1</t>
  </si>
  <si>
    <t>Année 2</t>
  </si>
  <si>
    <t>Année 3</t>
  </si>
  <si>
    <t>Année 4</t>
  </si>
  <si>
    <t>Année 5</t>
  </si>
  <si>
    <t xml:space="preserve">   Ventes</t>
  </si>
  <si>
    <t>Total</t>
  </si>
  <si>
    <t>Salaires, énergie, etc.</t>
  </si>
  <si>
    <t>Dotation aux amortissements</t>
  </si>
  <si>
    <t xml:space="preserve">   Plus value de cession</t>
  </si>
  <si>
    <t>IS</t>
  </si>
  <si>
    <t>Bénéfice net</t>
  </si>
  <si>
    <t>EBE</t>
  </si>
  <si>
    <t>Produits d'exploitation</t>
  </si>
  <si>
    <t>Charges d'exploitation</t>
  </si>
  <si>
    <t>Résultat d'exploitation</t>
  </si>
  <si>
    <t>Produits exceptionnels</t>
  </si>
  <si>
    <t>Charges exceptionnelles</t>
  </si>
  <si>
    <t xml:space="preserve">   Moins-value de cession</t>
  </si>
  <si>
    <t>Résultat exceptionnel</t>
  </si>
  <si>
    <t>Résultat brut</t>
  </si>
  <si>
    <t xml:space="preserve"> (charges variables de production)</t>
  </si>
  <si>
    <t>Taux d'actualisation</t>
  </si>
  <si>
    <t>oui</t>
  </si>
  <si>
    <t>Cas PROJEX</t>
  </si>
  <si>
    <t xml:space="preserve">   Autres charges d'exploitation mensuelles (salaires, énergie, etc.)</t>
  </si>
  <si>
    <t>D</t>
  </si>
  <si>
    <t xml:space="preserve">Aller dans "Données" puis "Analyse de scénarios" puis "Table de données" </t>
  </si>
  <si>
    <r>
      <t xml:space="preserve">     - </t>
    </r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>BFRexp</t>
    </r>
  </si>
  <si>
    <t xml:space="preserve">  Variation du BFR (diminution)</t>
  </si>
  <si>
    <t xml:space="preserve">  Revente de la machine</t>
  </si>
  <si>
    <r>
      <t xml:space="preserve">  Flux final = +EBE - </t>
    </r>
    <r>
      <rPr>
        <sz val="12"/>
        <rFont val="Symbol"/>
        <family val="1"/>
        <charset val="2"/>
      </rPr>
      <t>D</t>
    </r>
    <r>
      <rPr>
        <sz val="12"/>
        <rFont val="Times New Roman"/>
        <family val="1"/>
      </rPr>
      <t>BFRexp + CESval - IMPp</t>
    </r>
  </si>
  <si>
    <t xml:space="preserve"> (bénéfice courant et bénéfice exceptionnel)</t>
  </si>
  <si>
    <t>annuelle</t>
  </si>
  <si>
    <t>5 ans</t>
  </si>
  <si>
    <t>* Détermination des flux intermédiaires (t=1 à 4)</t>
  </si>
  <si>
    <t xml:space="preserve">  Variation du BFR (augmentation)</t>
  </si>
  <si>
    <t xml:space="preserve">  Résultat exceptionnel</t>
  </si>
  <si>
    <t xml:space="preserve">     Impôt sur les sociétés (bénéfice d'exploitation)</t>
  </si>
  <si>
    <t xml:space="preserve">     Impôt sur les sociétés (bénéfice exceptionnel)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</si>
</sst>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sz val="12"/>
      <name val="Symbol"/>
      <family val="1"/>
      <charset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0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9" fontId="4" fillId="0" borderId="0" xfId="1" applyFont="1"/>
    <xf numFmtId="0" fontId="5" fillId="0" borderId="0" xfId="0" applyFont="1"/>
    <xf numFmtId="0" fontId="3" fillId="0" borderId="0" xfId="0" quotePrefix="1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0" fontId="3" fillId="0" borderId="0" xfId="1" applyNumberFormat="1" applyFont="1"/>
    <xf numFmtId="2" fontId="3" fillId="0" borderId="0" xfId="0" applyNumberFormat="1" applyFont="1"/>
    <xf numFmtId="0" fontId="8" fillId="0" borderId="0" xfId="0" applyFont="1"/>
    <xf numFmtId="0" fontId="3" fillId="2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0" fontId="5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5" fillId="5" borderId="0" xfId="0" applyFont="1" applyFill="1"/>
    <xf numFmtId="3" fontId="3" fillId="5" borderId="0" xfId="0" applyNumberFormat="1" applyFont="1" applyFill="1"/>
    <xf numFmtId="0" fontId="3" fillId="6" borderId="0" xfId="0" applyFont="1" applyFill="1"/>
    <xf numFmtId="0" fontId="5" fillId="6" borderId="0" xfId="0" applyFont="1" applyFill="1"/>
    <xf numFmtId="3" fontId="3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9" fontId="10" fillId="0" borderId="0" xfId="1" applyFont="1"/>
    <xf numFmtId="0" fontId="2" fillId="6" borderId="0" xfId="0" applyFont="1" applyFill="1"/>
    <xf numFmtId="0" fontId="4" fillId="6" borderId="0" xfId="0" applyFont="1" applyFill="1"/>
    <xf numFmtId="0" fontId="2" fillId="5" borderId="0" xfId="0" applyFont="1" applyFill="1"/>
    <xf numFmtId="3" fontId="4" fillId="5" borderId="0" xfId="0" applyNumberFormat="1" applyFont="1" applyFill="1"/>
    <xf numFmtId="0" fontId="4" fillId="5" borderId="0" xfId="0" applyFont="1" applyFill="1"/>
    <xf numFmtId="0" fontId="2" fillId="4" borderId="0" xfId="0" applyFont="1" applyFill="1"/>
    <xf numFmtId="3" fontId="4" fillId="4" borderId="0" xfId="0" applyNumberFormat="1" applyFont="1" applyFill="1"/>
    <xf numFmtId="0" fontId="4" fillId="4" borderId="0" xfId="0" applyFont="1" applyFill="1"/>
    <xf numFmtId="0" fontId="2" fillId="3" borderId="0" xfId="0" applyFont="1" applyFill="1"/>
    <xf numFmtId="3" fontId="4" fillId="3" borderId="0" xfId="0" applyNumberFormat="1" applyFont="1" applyFill="1"/>
    <xf numFmtId="0" fontId="4" fillId="3" borderId="0" xfId="0" applyFont="1" applyFill="1"/>
    <xf numFmtId="0" fontId="2" fillId="2" borderId="0" xfId="0" applyFont="1" applyFill="1"/>
    <xf numFmtId="3" fontId="4" fillId="2" borderId="0" xfId="0" applyNumberFormat="1" applyFont="1" applyFill="1"/>
    <xf numFmtId="0" fontId="4" fillId="2" borderId="0" xfId="0" applyFont="1" applyFill="1"/>
    <xf numFmtId="0" fontId="2" fillId="7" borderId="0" xfId="0" applyFont="1" applyFill="1"/>
    <xf numFmtId="9" fontId="4" fillId="7" borderId="0" xfId="1" applyFont="1" applyFill="1"/>
    <xf numFmtId="0" fontId="2" fillId="8" borderId="0" xfId="0" applyFont="1" applyFill="1"/>
    <xf numFmtId="0" fontId="3" fillId="9" borderId="0" xfId="0" applyFont="1" applyFill="1"/>
    <xf numFmtId="0" fontId="5" fillId="9" borderId="0" xfId="0" applyFont="1" applyFill="1"/>
    <xf numFmtId="3" fontId="4" fillId="9" borderId="0" xfId="0" applyNumberFormat="1" applyFont="1" applyFill="1"/>
    <xf numFmtId="0" fontId="3" fillId="9" borderId="0" xfId="0" quotePrefix="1" applyFont="1" applyFill="1"/>
    <xf numFmtId="164" fontId="5" fillId="5" borderId="0" xfId="0" applyNumberFormat="1" applyFont="1" applyFill="1"/>
    <xf numFmtId="164" fontId="3" fillId="6" borderId="0" xfId="0" applyNumberFormat="1" applyFont="1" applyFill="1"/>
    <xf numFmtId="164" fontId="3" fillId="3" borderId="0" xfId="0" applyNumberFormat="1" applyFont="1" applyFill="1"/>
    <xf numFmtId="164" fontId="3" fillId="5" borderId="0" xfId="0" applyNumberFormat="1" applyFont="1" applyFill="1"/>
    <xf numFmtId="9" fontId="3" fillId="0" borderId="0" xfId="1" applyFont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9" fontId="3" fillId="0" borderId="1" xfId="1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/>
    </xf>
    <xf numFmtId="164" fontId="3" fillId="0" borderId="0" xfId="0" applyNumberFormat="1" applyFont="1" applyBorder="1"/>
    <xf numFmtId="0" fontId="8" fillId="9" borderId="0" xfId="0" applyFont="1" applyFill="1"/>
    <xf numFmtId="164" fontId="4" fillId="6" borderId="0" xfId="0" applyNumberFormat="1" applyFont="1" applyFill="1"/>
    <xf numFmtId="164" fontId="4" fillId="5" borderId="0" xfId="0" applyNumberFormat="1" applyFont="1" applyFill="1"/>
    <xf numFmtId="164" fontId="4" fillId="3" borderId="0" xfId="0" applyNumberFormat="1" applyFont="1" applyFill="1"/>
    <xf numFmtId="164" fontId="4" fillId="2" borderId="0" xfId="0" applyNumberFormat="1" applyFont="1" applyFill="1"/>
    <xf numFmtId="164" fontId="5" fillId="6" borderId="0" xfId="0" applyNumberFormat="1" applyFont="1" applyFill="1"/>
    <xf numFmtId="164" fontId="5" fillId="3" borderId="0" xfId="0" applyNumberFormat="1" applyFont="1" applyFill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9" fontId="3" fillId="10" borderId="0" xfId="0" applyNumberFormat="1" applyFont="1" applyFill="1" applyBorder="1"/>
    <xf numFmtId="0" fontId="3" fillId="0" borderId="1" xfId="0" applyFont="1" applyBorder="1"/>
    <xf numFmtId="164" fontId="3" fillId="8" borderId="0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6" borderId="0" xfId="0" applyNumberFormat="1" applyFont="1" applyFill="1" applyBorder="1"/>
    <xf numFmtId="0" fontId="11" fillId="6" borderId="0" xfId="0" applyFont="1" applyFill="1"/>
    <xf numFmtId="164" fontId="11" fillId="6" borderId="0" xfId="0" applyNumberFormat="1" applyFont="1" applyFill="1"/>
    <xf numFmtId="16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3" fontId="3" fillId="8" borderId="0" xfId="0" applyNumberFormat="1" applyFont="1" applyFill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4" fontId="2" fillId="8" borderId="0" xfId="0" applyNumberFormat="1" applyFont="1" applyFill="1" applyAlignment="1">
      <alignment vertical="center"/>
    </xf>
    <xf numFmtId="10" fontId="2" fillId="8" borderId="0" xfId="1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12" fillId="0" borderId="0" xfId="0" applyFont="1"/>
    <xf numFmtId="0" fontId="3" fillId="6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vertical="center"/>
    </xf>
    <xf numFmtId="10" fontId="2" fillId="8" borderId="0" xfId="1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r>
              <a:rPr lang="fr-FR"/>
              <a:t>Séquence de flux</a:t>
            </a:r>
          </a:p>
        </c:rich>
      </c:tx>
      <c:layout>
        <c:manualLayout>
          <c:xMode val="edge"/>
          <c:yMode val="edge"/>
          <c:x val="0.40679370339685178"/>
          <c:y val="2.0380434782608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8757249378622"/>
          <c:y val="0.16576086956521738"/>
          <c:w val="0.77299088649544356"/>
          <c:h val="0.743206521739130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Données!$A$96:$F$96</c:f>
              <c:numCache>
                <c:formatCode>#\ ##0\ "€"</c:formatCode>
                <c:ptCount val="6"/>
                <c:pt idx="0">
                  <c:v>-750000</c:v>
                </c:pt>
                <c:pt idx="1">
                  <c:v>184000</c:v>
                </c:pt>
                <c:pt idx="2">
                  <c:v>184000</c:v>
                </c:pt>
                <c:pt idx="3">
                  <c:v>184000</c:v>
                </c:pt>
                <c:pt idx="4">
                  <c:v>184000</c:v>
                </c:pt>
                <c:pt idx="5">
                  <c:v>494000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8-4F40-A1DA-8B0B50FE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25312"/>
        <c:axId val="138760192"/>
      </c:barChart>
      <c:catAx>
        <c:axId val="11652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defRPr>
                </a:pPr>
                <a:r>
                  <a:rPr lang="fr-FR"/>
                  <a:t>Temps (en année)</a:t>
                </a:r>
              </a:p>
            </c:rich>
          </c:tx>
          <c:layout>
            <c:manualLayout>
              <c:xMode val="edge"/>
              <c:yMode val="edge"/>
              <c:x val="0.44324772162386078"/>
              <c:y val="0.93478260869565211"/>
            </c:manualLayout>
          </c:layout>
          <c:overlay val="0"/>
          <c:spPr>
            <a:noFill/>
            <a:ln w="25400">
              <a:noFill/>
            </a:ln>
          </c:spPr>
        </c:title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8760192"/>
        <c:crosses val="autoZero"/>
        <c:auto val="0"/>
        <c:lblAlgn val="ctr"/>
        <c:lblOffset val="100"/>
        <c:tickMarkSkip val="1"/>
        <c:noMultiLvlLbl val="0"/>
      </c:catAx>
      <c:valAx>
        <c:axId val="138760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defRPr>
                </a:pPr>
                <a:r>
                  <a:rPr lang="fr-FR"/>
                  <a:t>Flux (en euros)</a:t>
                </a:r>
              </a:p>
            </c:rich>
          </c:tx>
          <c:layout>
            <c:manualLayout>
              <c:xMode val="edge"/>
              <c:yMode val="edge"/>
              <c:x val="4.1425020712510365E-3"/>
              <c:y val="0.4116847826086956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&quot;€&quot;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endParaRPr lang="fr-FR"/>
          </a:p>
        </c:txPr>
        <c:crossAx val="116525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r>
              <a:rPr lang="fr-FR"/>
              <a:t>Valeur nette présente en fonction du taux d'actualisation</a:t>
            </a:r>
          </a:p>
        </c:rich>
      </c:tx>
      <c:layout>
        <c:manualLayout>
          <c:xMode val="edge"/>
          <c:yMode val="edge"/>
          <c:x val="0.20573516886548118"/>
          <c:y val="6.1141304347826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3275338304337"/>
          <c:y val="0.17255434782608697"/>
          <c:w val="0.79839823253244968"/>
          <c:h val="0.7323369565217390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Données!$A$119:$A$144</c:f>
              <c:numCache>
                <c:formatCode>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Données!$B$119:$B$144</c:f>
              <c:numCache>
                <c:formatCode>#\ ##0\ "€"</c:formatCode>
                <c:ptCount val="26"/>
                <c:pt idx="0">
                  <c:v>480000</c:v>
                </c:pt>
                <c:pt idx="1">
                  <c:v>437985.71119391406</c:v>
                </c:pt>
                <c:pt idx="2">
                  <c:v>398053.10061204759</c:v>
                </c:pt>
                <c:pt idx="3">
                  <c:v>360074.84560288512</c:v>
                </c:pt>
                <c:pt idx="4">
                  <c:v>323932.71200238052</c:v>
                </c:pt>
                <c:pt idx="5">
                  <c:v>289516.81900129293</c:v>
                </c:pt>
                <c:pt idx="6">
                  <c:v>256724.97013256885</c:v>
                </c:pt>
                <c:pt idx="7">
                  <c:v>225462.04385429434</c:v>
                </c:pt>
                <c:pt idx="8">
                  <c:v>195639.43790283101</c:v>
                </c:pt>
                <c:pt idx="9">
                  <c:v>167174.56220920279</c:v>
                </c:pt>
                <c:pt idx="10">
                  <c:v>139990.37571949232</c:v>
                </c:pt>
                <c:pt idx="11">
                  <c:v>114014.96294565464</c:v>
                </c:pt>
                <c:pt idx="12">
                  <c:v>89181.146504246513</c:v>
                </c:pt>
                <c:pt idx="13">
                  <c:v>65426.132283687009</c:v>
                </c:pt>
                <c:pt idx="14">
                  <c:v>42691.18422149925</c:v>
                </c:pt>
                <c:pt idx="15">
                  <c:v>20921.325976567925</c:v>
                </c:pt>
                <c:pt idx="16">
                  <c:v>65.067052070167847</c:v>
                </c:pt>
                <c:pt idx="17">
                  <c:v>-19925.848833653843</c:v>
                </c:pt>
                <c:pt idx="18">
                  <c:v>-39096.67511524877</c:v>
                </c:pt>
                <c:pt idx="19">
                  <c:v>-57489.875281415298</c:v>
                </c:pt>
                <c:pt idx="20">
                  <c:v>-75145.318930041161</c:v>
                </c:pt>
                <c:pt idx="21">
                  <c:v>-92100.462443672819</c:v>
                </c:pt>
                <c:pt idx="22">
                  <c:v>-108390.51561273646</c:v>
                </c:pt>
                <c:pt idx="23">
                  <c:v>-124048.59540921717</c:v>
                </c:pt>
                <c:pt idx="24">
                  <c:v>-139105.86800146475</c:v>
                </c:pt>
                <c:pt idx="25">
                  <c:v>-153591.67999999993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FB-4C32-B5B2-C11DA468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87008"/>
        <c:axId val="144613760"/>
      </c:scatterChart>
      <c:valAx>
        <c:axId val="144587008"/>
        <c:scaling>
          <c:orientation val="minMax"/>
          <c:max val="0.25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defRPr>
                </a:pPr>
                <a:r>
                  <a:rPr lang="fr-FR"/>
                  <a:t>Taux d'actualisation r</a:t>
                </a:r>
              </a:p>
            </c:rich>
          </c:tx>
          <c:layout>
            <c:manualLayout>
              <c:xMode val="edge"/>
              <c:yMode val="edge"/>
              <c:x val="0.43910521955260984"/>
              <c:y val="0.9307065217391303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endParaRPr lang="fr-FR"/>
          </a:p>
        </c:txPr>
        <c:crossAx val="144613760"/>
        <c:crossesAt val="0"/>
        <c:crossBetween val="midCat"/>
      </c:valAx>
      <c:valAx>
        <c:axId val="14461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defRPr>
                </a:pPr>
                <a:r>
                  <a:rPr lang="fr-FR"/>
                  <a:t>VNP (en euros)</a:t>
                </a:r>
              </a:p>
            </c:rich>
          </c:tx>
          <c:layout>
            <c:manualLayout>
              <c:xMode val="edge"/>
              <c:yMode val="edge"/>
              <c:x val="3.3140016570008288E-3"/>
              <c:y val="0.4116847826086956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&quot;€&quot;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endParaRPr lang="fr-FR"/>
          </a:p>
        </c:txPr>
        <c:crossAx val="1445870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2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2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0.49234</cdr:x>
      <cdr:y>0.5122</cdr:y>
    </cdr:from>
    <cdr:to>
      <cdr:x>0.49234</cdr:x>
      <cdr:y>0.7502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528240" y="2872607"/>
          <a:ext cx="0" cy="13347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0.40715</cdr:x>
      <cdr:y>0.42391</cdr:y>
    </cdr:from>
    <cdr:to>
      <cdr:x>0.58358</cdr:x>
      <cdr:y>0.47915</cdr:y>
    </cdr:to>
    <cdr:sp macro="" textlink="">
      <cdr:nvSpPr>
        <cdr:cNvPr id="1026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7830" y="2377411"/>
          <a:ext cx="1623971" cy="309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CG TImes"/>
            </a:rPr>
            <a:t>VNP(r = 10%)  = </a:t>
          </a:r>
        </a:p>
      </cdr:txBody>
    </cdr:sp>
  </cdr:relSizeAnchor>
  <cdr:relSizeAnchor xmlns:cdr="http://schemas.openxmlformats.org/drawingml/2006/chartDrawing">
    <cdr:from>
      <cdr:x>0.16416</cdr:x>
      <cdr:y>0.59365</cdr:y>
    </cdr:from>
    <cdr:to>
      <cdr:x>0.54741</cdr:x>
      <cdr:y>0.59365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509831" y="3329387"/>
          <a:ext cx="352488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0.7005</cdr:x>
      <cdr:y>0.544</cdr:y>
    </cdr:from>
    <cdr:to>
      <cdr:x>0.77925</cdr:x>
      <cdr:y>0.60525</cdr:y>
    </cdr:to>
    <cdr:sp macro="" textlink="">
      <cdr:nvSpPr>
        <cdr:cNvPr id="1028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2737" y="3050926"/>
          <a:ext cx="724290" cy="34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CG TImes"/>
            </a:rPr>
            <a:t>TRI  = </a:t>
          </a:r>
        </a:p>
      </cdr:txBody>
    </cdr:sp>
  </cdr:relSizeAnchor>
  <cdr:relSizeAnchor xmlns:cdr="http://schemas.openxmlformats.org/drawingml/2006/chartDrawing">
    <cdr:from>
      <cdr:x>0.677</cdr:x>
      <cdr:y>0.63325</cdr:y>
    </cdr:from>
    <cdr:to>
      <cdr:x>0.6995</cdr:x>
      <cdr:y>0.703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26599" y="3551469"/>
          <a:ext cx="206940" cy="3911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0.28341</cdr:x>
      <cdr:y>0.531</cdr:y>
    </cdr:from>
    <cdr:to>
      <cdr:x>0.37209</cdr:x>
      <cdr:y>0.58625</cdr:y>
    </cdr:to>
    <cdr:sp macro="" textlink="Données!$B$88">
      <cdr:nvSpPr>
        <cdr:cNvPr id="1030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6592" y="2978034"/>
          <a:ext cx="815672" cy="309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F6C9AD74-2650-41A3-94BB-D7B32926B772}" type="TxLink">
            <a:rPr lang="fr-FR" sz="1600" b="1" i="0" u="none" strike="noStrike" baseline="0">
              <a:solidFill>
                <a:srgbClr val="000000"/>
              </a:solidFill>
              <a:latin typeface="CG TImes"/>
              <a:cs typeface="Times New Roman"/>
            </a:rPr>
            <a:pPr algn="ctr" rtl="0">
              <a:defRPr sz="1000"/>
            </a:pPr>
            <a:t> </a:t>
          </a:fld>
          <a:endParaRPr lang="fr-FR" sz="1600" b="1" i="0" u="none" strike="noStrike" baseline="0">
            <a:solidFill>
              <a:srgbClr val="000000"/>
            </a:solidFill>
            <a:latin typeface="CG TImes"/>
          </a:endParaRPr>
        </a:p>
      </cdr:txBody>
    </cdr:sp>
  </cdr:relSizeAnchor>
  <cdr:relSizeAnchor xmlns:cdr="http://schemas.openxmlformats.org/drawingml/2006/chartDrawing">
    <cdr:from>
      <cdr:x>0.77657</cdr:x>
      <cdr:y>0.54441</cdr:y>
    </cdr:from>
    <cdr:to>
      <cdr:x>0.85699</cdr:x>
      <cdr:y>0.59955</cdr:y>
    </cdr:to>
    <cdr:sp macro="" textlink="Données!$E$114">
      <cdr:nvSpPr>
        <cdr:cNvPr id="1031" name="Texte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2737" y="3059470"/>
          <a:ext cx="740716" cy="309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28F35050-F0A8-443D-9C6B-33A1B54AA4E1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 rtl="0">
              <a:defRPr sz="1000"/>
            </a:pPr>
            <a:t>16.00%</a:t>
          </a:fld>
          <a:endParaRPr lang="fr-FR" sz="16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0.58274</cdr:x>
      <cdr:y>0.42317</cdr:y>
    </cdr:from>
    <cdr:to>
      <cdr:x>0.67987</cdr:x>
      <cdr:y>0.4783</cdr:y>
    </cdr:to>
    <cdr:sp macro="" textlink="">
      <cdr:nvSpPr>
        <cdr:cNvPr id="9" name="Texte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7443" y="2378104"/>
          <a:ext cx="894604" cy="309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139 990 €</a:t>
          </a:r>
          <a:endParaRPr lang="fr-FR" sz="16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7"/>
  <sheetViews>
    <sheetView tabSelected="1" defaultGridColor="0" colorId="47" zoomScale="145" zoomScaleNormal="145" workbookViewId="0"/>
  </sheetViews>
  <sheetFormatPr baseColWidth="10" defaultColWidth="9.109375" defaultRowHeight="15.6" x14ac:dyDescent="0.3"/>
  <cols>
    <col min="1" max="8" width="12.33203125" style="2" customWidth="1"/>
    <col min="9" max="16384" width="9.109375" style="2"/>
  </cols>
  <sheetData>
    <row r="1" spans="1:6" ht="17.399999999999999" x14ac:dyDescent="0.3">
      <c r="A1" s="13" t="s">
        <v>86</v>
      </c>
    </row>
    <row r="3" spans="1:6" x14ac:dyDescent="0.3">
      <c r="A3" s="28" t="s">
        <v>17</v>
      </c>
      <c r="B3" s="22"/>
      <c r="C3" s="22"/>
      <c r="D3" s="22"/>
      <c r="E3" s="22"/>
      <c r="F3" s="22"/>
    </row>
    <row r="4" spans="1:6" x14ac:dyDescent="0.3">
      <c r="A4" s="22" t="s">
        <v>18</v>
      </c>
      <c r="B4" s="22"/>
      <c r="C4" s="22"/>
      <c r="D4" s="22"/>
      <c r="E4" s="60">
        <v>500000</v>
      </c>
      <c r="F4" s="22"/>
    </row>
    <row r="5" spans="1:6" x14ac:dyDescent="0.3">
      <c r="A5" s="22" t="s">
        <v>19</v>
      </c>
      <c r="B5" s="22"/>
      <c r="C5" s="22"/>
      <c r="D5" s="22"/>
      <c r="E5" s="29">
        <v>5</v>
      </c>
      <c r="F5" s="29" t="s">
        <v>0</v>
      </c>
    </row>
    <row r="6" spans="1:6" x14ac:dyDescent="0.3">
      <c r="A6" s="22" t="s">
        <v>31</v>
      </c>
      <c r="B6" s="22"/>
      <c r="C6" s="22"/>
      <c r="D6" s="22"/>
      <c r="E6" s="60">
        <v>100000</v>
      </c>
      <c r="F6" s="29"/>
    </row>
    <row r="7" spans="1:6" x14ac:dyDescent="0.3">
      <c r="E7" s="4"/>
    </row>
    <row r="8" spans="1:6" x14ac:dyDescent="0.3">
      <c r="A8" s="30" t="s">
        <v>20</v>
      </c>
      <c r="B8" s="19"/>
      <c r="C8" s="19"/>
      <c r="D8" s="19"/>
      <c r="E8" s="31"/>
      <c r="F8" s="19"/>
    </row>
    <row r="9" spans="1:6" x14ac:dyDescent="0.3">
      <c r="A9" s="19" t="s">
        <v>21</v>
      </c>
      <c r="B9" s="19"/>
      <c r="C9" s="19"/>
      <c r="D9" s="19"/>
      <c r="E9" s="31">
        <v>1000</v>
      </c>
      <c r="F9" s="32" t="s">
        <v>22</v>
      </c>
    </row>
    <row r="10" spans="1:6" x14ac:dyDescent="0.3">
      <c r="A10" s="19" t="s">
        <v>23</v>
      </c>
      <c r="B10" s="19"/>
      <c r="C10" s="19"/>
      <c r="D10" s="19"/>
      <c r="E10" s="61">
        <v>20</v>
      </c>
      <c r="F10" s="32"/>
    </row>
    <row r="11" spans="1:6" x14ac:dyDescent="0.3">
      <c r="A11" s="19" t="s">
        <v>24</v>
      </c>
      <c r="B11" s="19"/>
      <c r="C11" s="19"/>
      <c r="D11" s="19"/>
      <c r="E11" s="31">
        <v>1</v>
      </c>
      <c r="F11" s="32" t="s">
        <v>1</v>
      </c>
    </row>
    <row r="12" spans="1:6" x14ac:dyDescent="0.3">
      <c r="E12" s="4"/>
    </row>
    <row r="13" spans="1:6" x14ac:dyDescent="0.3">
      <c r="A13" s="33" t="s">
        <v>25</v>
      </c>
      <c r="B13" s="18"/>
      <c r="C13" s="18"/>
      <c r="D13" s="18"/>
      <c r="E13" s="34"/>
      <c r="F13" s="18"/>
    </row>
    <row r="14" spans="1:6" x14ac:dyDescent="0.3">
      <c r="A14" s="18" t="s">
        <v>26</v>
      </c>
      <c r="B14" s="18"/>
      <c r="C14" s="18"/>
      <c r="D14" s="18"/>
      <c r="E14" s="34">
        <v>3</v>
      </c>
      <c r="F14" s="35" t="s">
        <v>1</v>
      </c>
    </row>
    <row r="15" spans="1:6" x14ac:dyDescent="0.3">
      <c r="A15" s="18" t="s">
        <v>27</v>
      </c>
      <c r="B15" s="18"/>
      <c r="C15" s="18"/>
      <c r="D15" s="18"/>
      <c r="E15" s="34">
        <v>2</v>
      </c>
      <c r="F15" s="35" t="s">
        <v>1</v>
      </c>
    </row>
    <row r="16" spans="1:6" x14ac:dyDescent="0.3">
      <c r="E16" s="4"/>
      <c r="F16" s="3"/>
    </row>
    <row r="17" spans="1:7" x14ac:dyDescent="0.3">
      <c r="A17" s="36" t="s">
        <v>32</v>
      </c>
      <c r="B17" s="15"/>
      <c r="C17" s="15"/>
      <c r="D17" s="15"/>
      <c r="E17" s="37"/>
      <c r="F17" s="38"/>
    </row>
    <row r="18" spans="1:7" x14ac:dyDescent="0.3">
      <c r="A18" s="15" t="s">
        <v>87</v>
      </c>
      <c r="B18" s="15"/>
      <c r="C18" s="15"/>
      <c r="D18" s="15"/>
      <c r="E18" s="62">
        <v>10000</v>
      </c>
      <c r="F18" s="38"/>
      <c r="G18" s="2" t="s">
        <v>83</v>
      </c>
    </row>
    <row r="19" spans="1:7" x14ac:dyDescent="0.3">
      <c r="E19" s="4"/>
    </row>
    <row r="20" spans="1:7" x14ac:dyDescent="0.3">
      <c r="A20" s="39" t="s">
        <v>28</v>
      </c>
      <c r="B20" s="14"/>
      <c r="C20" s="14"/>
      <c r="D20" s="14"/>
      <c r="E20" s="40"/>
      <c r="F20" s="14"/>
    </row>
    <row r="21" spans="1:7" x14ac:dyDescent="0.3">
      <c r="A21" s="14" t="s">
        <v>29</v>
      </c>
      <c r="B21" s="14"/>
      <c r="C21" s="14"/>
      <c r="D21" s="14"/>
      <c r="E21" s="40">
        <v>1000</v>
      </c>
      <c r="F21" s="41" t="s">
        <v>22</v>
      </c>
    </row>
    <row r="22" spans="1:7" x14ac:dyDescent="0.3">
      <c r="A22" s="14" t="s">
        <v>52</v>
      </c>
      <c r="B22" s="14"/>
      <c r="C22" s="14"/>
      <c r="D22" s="14"/>
      <c r="E22" s="63">
        <v>50</v>
      </c>
      <c r="F22" s="41"/>
    </row>
    <row r="23" spans="1:7" x14ac:dyDescent="0.3">
      <c r="A23" s="14" t="s">
        <v>30</v>
      </c>
      <c r="B23" s="14"/>
      <c r="C23" s="14"/>
      <c r="D23" s="14"/>
      <c r="E23" s="40">
        <v>3</v>
      </c>
      <c r="F23" s="41" t="s">
        <v>1</v>
      </c>
    </row>
    <row r="24" spans="1:7" x14ac:dyDescent="0.3">
      <c r="A24" s="2" t="s">
        <v>2</v>
      </c>
      <c r="E24" s="4"/>
    </row>
    <row r="25" spans="1:7" x14ac:dyDescent="0.3">
      <c r="A25" s="42" t="s">
        <v>33</v>
      </c>
      <c r="B25" s="25"/>
      <c r="C25" s="25"/>
      <c r="D25" s="25"/>
      <c r="E25" s="25"/>
      <c r="F25" s="25"/>
    </row>
    <row r="26" spans="1:7" x14ac:dyDescent="0.3">
      <c r="A26" s="25" t="s">
        <v>34</v>
      </c>
      <c r="B26" s="25"/>
      <c r="C26" s="25"/>
      <c r="D26" s="25"/>
      <c r="E26" s="43">
        <v>0.4</v>
      </c>
      <c r="F26" s="25"/>
      <c r="G26" s="2" t="s">
        <v>94</v>
      </c>
    </row>
    <row r="27" spans="1:7" x14ac:dyDescent="0.3">
      <c r="B27" s="6"/>
      <c r="C27" s="6"/>
      <c r="D27" s="6"/>
      <c r="E27" s="4"/>
      <c r="F27" s="7"/>
    </row>
    <row r="28" spans="1:7" x14ac:dyDescent="0.3">
      <c r="B28" s="6"/>
      <c r="E28" s="4"/>
      <c r="F28" s="7"/>
    </row>
    <row r="29" spans="1:7" ht="17.399999999999999" x14ac:dyDescent="0.3">
      <c r="A29" s="59" t="s">
        <v>51</v>
      </c>
      <c r="B29" s="46"/>
      <c r="C29" s="45"/>
      <c r="D29" s="45"/>
      <c r="E29" s="47"/>
      <c r="F29" s="48"/>
    </row>
    <row r="30" spans="1:7" ht="9" customHeight="1" x14ac:dyDescent="0.3">
      <c r="A30" s="45"/>
      <c r="B30" s="46"/>
      <c r="C30" s="45"/>
      <c r="D30" s="45"/>
      <c r="E30" s="47"/>
      <c r="F30" s="48"/>
    </row>
    <row r="31" spans="1:7" x14ac:dyDescent="0.3">
      <c r="A31" s="45" t="s">
        <v>57</v>
      </c>
      <c r="B31" s="46"/>
      <c r="C31" s="45"/>
      <c r="D31" s="45"/>
      <c r="E31" s="47"/>
      <c r="F31" s="48" t="s">
        <v>95</v>
      </c>
    </row>
    <row r="32" spans="1:7" x14ac:dyDescent="0.3">
      <c r="A32" s="45" t="s">
        <v>58</v>
      </c>
      <c r="B32" s="46"/>
      <c r="C32" s="45"/>
      <c r="D32" s="45"/>
      <c r="E32" s="47"/>
      <c r="F32" s="48" t="s">
        <v>96</v>
      </c>
    </row>
    <row r="34" spans="1:6" x14ac:dyDescent="0.3">
      <c r="B34" s="6"/>
      <c r="E34" s="4"/>
      <c r="F34" s="7"/>
    </row>
    <row r="35" spans="1:6" ht="17.399999999999999" x14ac:dyDescent="0.3">
      <c r="A35" s="13" t="s">
        <v>53</v>
      </c>
      <c r="B35" s="6"/>
      <c r="E35" s="6"/>
      <c r="F35" s="6"/>
    </row>
    <row r="36" spans="1:6" ht="9" customHeight="1" x14ac:dyDescent="0.3">
      <c r="A36" s="1"/>
      <c r="B36" s="6"/>
      <c r="E36" s="6"/>
      <c r="F36" s="6"/>
    </row>
    <row r="37" spans="1:6" x14ac:dyDescent="0.3">
      <c r="A37" s="19" t="s">
        <v>35</v>
      </c>
      <c r="B37" s="20"/>
      <c r="C37" s="19" t="s">
        <v>2</v>
      </c>
      <c r="D37" s="19"/>
      <c r="E37" s="49">
        <f>E10+E18/E9</f>
        <v>30</v>
      </c>
      <c r="F37" s="6"/>
    </row>
    <row r="38" spans="1:6" ht="9" customHeight="1" x14ac:dyDescent="0.3">
      <c r="E38" s="8"/>
    </row>
    <row r="39" spans="1:6" x14ac:dyDescent="0.3">
      <c r="A39" s="28" t="s">
        <v>3</v>
      </c>
      <c r="B39" s="23"/>
      <c r="C39" s="23"/>
      <c r="D39" s="23"/>
      <c r="E39" s="24"/>
      <c r="F39" s="2" t="s">
        <v>2</v>
      </c>
    </row>
    <row r="40" spans="1:6" ht="9" customHeight="1" x14ac:dyDescent="0.3">
      <c r="A40" s="22"/>
      <c r="B40" s="23"/>
      <c r="C40" s="23"/>
      <c r="D40" s="23"/>
      <c r="E40" s="24"/>
    </row>
    <row r="41" spans="1:6" x14ac:dyDescent="0.3">
      <c r="A41" s="22" t="s">
        <v>36</v>
      </c>
      <c r="B41" s="22"/>
      <c r="C41" s="22"/>
      <c r="D41" s="22"/>
      <c r="E41" s="50">
        <f>E4</f>
        <v>500000</v>
      </c>
    </row>
    <row r="42" spans="1:6" ht="9" customHeight="1" x14ac:dyDescent="0.3">
      <c r="A42" s="22"/>
      <c r="B42" s="22"/>
      <c r="C42" s="22"/>
      <c r="D42" s="22"/>
      <c r="E42" s="24"/>
    </row>
    <row r="43" spans="1:6" x14ac:dyDescent="0.3">
      <c r="A43" s="22" t="s">
        <v>98</v>
      </c>
      <c r="B43" s="22"/>
      <c r="C43" s="22"/>
      <c r="D43" s="22"/>
      <c r="E43" s="50">
        <f>E44+E45+E46+E47</f>
        <v>250000</v>
      </c>
    </row>
    <row r="44" spans="1:6" x14ac:dyDescent="0.3">
      <c r="A44" s="23" t="str">
        <f>"     + Stocks de matières premières"</f>
        <v xml:space="preserve">     + Stocks de matières premières</v>
      </c>
      <c r="B44" s="22"/>
      <c r="C44" s="22"/>
      <c r="D44" s="22"/>
      <c r="E44" s="64">
        <f>E14*E9*E10</f>
        <v>60000</v>
      </c>
    </row>
    <row r="45" spans="1:6" x14ac:dyDescent="0.3">
      <c r="A45" s="23" t="str">
        <f>"     + Stocks de produits finis"</f>
        <v xml:space="preserve">     + Stocks de produits finis</v>
      </c>
      <c r="B45" s="22"/>
      <c r="C45" s="22"/>
      <c r="D45" s="22"/>
      <c r="E45" s="64">
        <f>E15*E9*E37</f>
        <v>60000</v>
      </c>
    </row>
    <row r="46" spans="1:6" x14ac:dyDescent="0.3">
      <c r="A46" s="23" t="str">
        <f>"     + Crédit clients"</f>
        <v xml:space="preserve">     + Crédit clients</v>
      </c>
      <c r="B46" s="22"/>
      <c r="C46" s="22"/>
      <c r="D46" s="22"/>
      <c r="E46" s="64">
        <f>E23*E21*E22</f>
        <v>150000</v>
      </c>
    </row>
    <row r="47" spans="1:6" x14ac:dyDescent="0.3">
      <c r="A47" s="23" t="str">
        <f>"     - Crédit fournisseurs"</f>
        <v xml:space="preserve">     - Crédit fournisseurs</v>
      </c>
      <c r="B47" s="22"/>
      <c r="C47" s="22"/>
      <c r="D47" s="22"/>
      <c r="E47" s="64">
        <f>-E11*E9*E10</f>
        <v>-20000</v>
      </c>
    </row>
    <row r="48" spans="1:6" ht="9" customHeight="1" x14ac:dyDescent="0.3">
      <c r="A48" s="22"/>
      <c r="B48" s="22"/>
      <c r="C48" s="22"/>
      <c r="D48" s="22"/>
      <c r="E48" s="24"/>
    </row>
    <row r="49" spans="1:6" x14ac:dyDescent="0.3">
      <c r="A49" s="22" t="s">
        <v>39</v>
      </c>
      <c r="B49" s="22"/>
      <c r="C49" s="22"/>
      <c r="D49" s="22"/>
      <c r="E49" s="50">
        <f>-E41-(E43-0)</f>
        <v>-750000</v>
      </c>
    </row>
    <row r="50" spans="1:6" x14ac:dyDescent="0.3">
      <c r="E50" s="8"/>
    </row>
    <row r="51" spans="1:6" x14ac:dyDescent="0.3">
      <c r="A51" s="36" t="s">
        <v>97</v>
      </c>
      <c r="B51" s="15"/>
      <c r="C51" s="15"/>
      <c r="D51" s="15"/>
      <c r="E51" s="16"/>
      <c r="F51" s="7"/>
    </row>
    <row r="52" spans="1:6" ht="9" customHeight="1" x14ac:dyDescent="0.3">
      <c r="A52" s="15"/>
      <c r="B52" s="15"/>
      <c r="C52" s="15"/>
      <c r="D52" s="15"/>
      <c r="E52" s="16"/>
      <c r="F52" s="7"/>
    </row>
    <row r="53" spans="1:6" x14ac:dyDescent="0.3">
      <c r="A53" s="15" t="s">
        <v>4</v>
      </c>
      <c r="B53" s="15"/>
      <c r="C53" s="15"/>
      <c r="D53" s="15"/>
      <c r="E53" s="51">
        <f>E54-E55+E56</f>
        <v>240000</v>
      </c>
      <c r="F53" s="7"/>
    </row>
    <row r="54" spans="1:6" x14ac:dyDescent="0.3">
      <c r="A54" s="17" t="str">
        <f>"     + Ventes"</f>
        <v xml:space="preserve">     + Ventes</v>
      </c>
      <c r="B54" s="15"/>
      <c r="C54" s="15"/>
      <c r="D54" s="15"/>
      <c r="E54" s="65">
        <f>12*E21*E22</f>
        <v>600000</v>
      </c>
    </row>
    <row r="55" spans="1:6" x14ac:dyDescent="0.3">
      <c r="A55" s="17" t="str">
        <f>"     - Achats"</f>
        <v xml:space="preserve">     - Achats</v>
      </c>
      <c r="B55" s="15"/>
      <c r="C55" s="15"/>
      <c r="D55" s="15"/>
      <c r="E55" s="65">
        <f>12*E9*E10</f>
        <v>240000</v>
      </c>
      <c r="F55" s="7"/>
    </row>
    <row r="56" spans="1:6" x14ac:dyDescent="0.3">
      <c r="A56" s="17" t="str">
        <f>"     - Charges d'exploitation"</f>
        <v xml:space="preserve">     - Charges d'exploitation</v>
      </c>
      <c r="B56" s="15"/>
      <c r="C56" s="15"/>
      <c r="D56" s="15"/>
      <c r="E56" s="65">
        <f>-12*E18</f>
        <v>-120000</v>
      </c>
      <c r="F56" s="7"/>
    </row>
    <row r="57" spans="1:6" ht="9" customHeight="1" x14ac:dyDescent="0.3">
      <c r="A57" s="17"/>
      <c r="B57" s="15"/>
      <c r="C57" s="15"/>
      <c r="D57" s="15"/>
      <c r="E57" s="16"/>
      <c r="F57" s="7"/>
    </row>
    <row r="58" spans="1:6" x14ac:dyDescent="0.3">
      <c r="A58" s="15" t="s">
        <v>37</v>
      </c>
      <c r="B58" s="15"/>
      <c r="C58" s="15"/>
      <c r="D58" s="15"/>
      <c r="E58" s="51">
        <f>E59+E60</f>
        <v>140000</v>
      </c>
      <c r="F58" s="7"/>
    </row>
    <row r="59" spans="1:6" x14ac:dyDescent="0.3">
      <c r="A59" s="17" t="str">
        <f>"     + Excédent brut d'exploitation"</f>
        <v xml:space="preserve">     + Excédent brut d'exploitation</v>
      </c>
      <c r="B59" s="15"/>
      <c r="C59" s="15"/>
      <c r="D59" s="15"/>
      <c r="E59" s="65">
        <f>E53</f>
        <v>240000</v>
      </c>
      <c r="F59" s="7"/>
    </row>
    <row r="60" spans="1:6" x14ac:dyDescent="0.3">
      <c r="A60" s="17" t="str">
        <f>"     - Dotation aux amortissements"</f>
        <v xml:space="preserve">     - Dotation aux amortissements</v>
      </c>
      <c r="B60" s="15"/>
      <c r="C60" s="15"/>
      <c r="D60" s="15"/>
      <c r="E60" s="65">
        <f>-E4/E5</f>
        <v>-100000</v>
      </c>
      <c r="F60" s="7"/>
    </row>
    <row r="61" spans="1:6" ht="9" customHeight="1" x14ac:dyDescent="0.3">
      <c r="A61" s="17"/>
      <c r="B61" s="15"/>
      <c r="C61" s="15"/>
      <c r="D61" s="15"/>
      <c r="E61" s="16"/>
      <c r="F61" s="7"/>
    </row>
    <row r="62" spans="1:6" x14ac:dyDescent="0.3">
      <c r="A62" s="15" t="s">
        <v>48</v>
      </c>
      <c r="B62" s="15"/>
      <c r="C62" s="15"/>
      <c r="D62" s="15"/>
      <c r="E62" s="51">
        <f>E26*E58</f>
        <v>56000</v>
      </c>
    </row>
    <row r="63" spans="1:6" ht="9" customHeight="1" x14ac:dyDescent="0.3">
      <c r="A63" s="15"/>
      <c r="B63" s="15"/>
      <c r="C63" s="15"/>
      <c r="D63" s="15"/>
      <c r="E63" s="16"/>
    </row>
    <row r="64" spans="1:6" x14ac:dyDescent="0.3">
      <c r="A64" s="15" t="s">
        <v>38</v>
      </c>
      <c r="B64" s="15"/>
      <c r="C64" s="15"/>
      <c r="D64" s="15"/>
      <c r="E64" s="51">
        <f>E53-E62</f>
        <v>184000</v>
      </c>
    </row>
    <row r="65" spans="1:5" x14ac:dyDescent="0.3">
      <c r="E65" s="8"/>
    </row>
    <row r="66" spans="1:5" x14ac:dyDescent="0.3">
      <c r="A66" s="30" t="s">
        <v>49</v>
      </c>
      <c r="B66" s="19"/>
      <c r="C66" s="19"/>
      <c r="D66" s="19"/>
      <c r="E66" s="21"/>
    </row>
    <row r="67" spans="1:5" ht="9" customHeight="1" x14ac:dyDescent="0.3">
      <c r="A67" s="19"/>
      <c r="B67" s="19"/>
      <c r="C67" s="19"/>
      <c r="D67" s="19"/>
      <c r="E67" s="21"/>
    </row>
    <row r="68" spans="1:5" x14ac:dyDescent="0.3">
      <c r="A68" s="19" t="s">
        <v>4</v>
      </c>
      <c r="B68" s="19"/>
      <c r="C68" s="19"/>
      <c r="D68" s="19"/>
      <c r="E68" s="52">
        <f>E69-E70+E71</f>
        <v>240000</v>
      </c>
    </row>
    <row r="69" spans="1:5" x14ac:dyDescent="0.3">
      <c r="A69" s="20" t="str">
        <f>"     + Ventes"</f>
        <v xml:space="preserve">     + Ventes</v>
      </c>
      <c r="B69" s="19"/>
      <c r="C69" s="19"/>
      <c r="D69" s="19"/>
      <c r="E69" s="49">
        <f>12*E21*E22</f>
        <v>600000</v>
      </c>
    </row>
    <row r="70" spans="1:5" x14ac:dyDescent="0.3">
      <c r="A70" s="20" t="str">
        <f>"     - Achats"</f>
        <v xml:space="preserve">     - Achats</v>
      </c>
      <c r="B70" s="19"/>
      <c r="C70" s="19"/>
      <c r="D70" s="19"/>
      <c r="E70" s="49">
        <f>12*E9*E10</f>
        <v>240000</v>
      </c>
    </row>
    <row r="71" spans="1:5" x14ac:dyDescent="0.3">
      <c r="A71" s="20" t="str">
        <f>"     - Charges d'exploitation"</f>
        <v xml:space="preserve">     - Charges d'exploitation</v>
      </c>
      <c r="B71" s="19"/>
      <c r="C71" s="19"/>
      <c r="D71" s="19"/>
      <c r="E71" s="49">
        <f>-12*E18</f>
        <v>-120000</v>
      </c>
    </row>
    <row r="72" spans="1:5" ht="9" customHeight="1" x14ac:dyDescent="0.3">
      <c r="A72" s="20"/>
      <c r="B72" s="19"/>
      <c r="C72" s="19"/>
      <c r="D72" s="19"/>
      <c r="E72" s="49"/>
    </row>
    <row r="73" spans="1:5" x14ac:dyDescent="0.3">
      <c r="A73" s="19" t="s">
        <v>91</v>
      </c>
      <c r="B73" s="19"/>
      <c r="C73" s="19"/>
      <c r="D73" s="19"/>
      <c r="E73" s="52">
        <f>-E43</f>
        <v>-250000</v>
      </c>
    </row>
    <row r="74" spans="1:5" ht="9" customHeight="1" x14ac:dyDescent="0.3">
      <c r="A74" s="20"/>
      <c r="B74" s="19"/>
      <c r="C74" s="19"/>
      <c r="D74" s="19"/>
      <c r="E74" s="49"/>
    </row>
    <row r="75" spans="1:5" x14ac:dyDescent="0.3">
      <c r="A75" s="19" t="s">
        <v>92</v>
      </c>
      <c r="B75" s="19"/>
      <c r="C75" s="19"/>
      <c r="D75" s="19"/>
      <c r="E75" s="52">
        <f>E6</f>
        <v>100000</v>
      </c>
    </row>
    <row r="76" spans="1:5" ht="9" customHeight="1" x14ac:dyDescent="0.3">
      <c r="A76" s="20"/>
      <c r="B76" s="19"/>
      <c r="C76" s="19"/>
      <c r="D76" s="19"/>
      <c r="E76" s="49"/>
    </row>
    <row r="77" spans="1:5" x14ac:dyDescent="0.3">
      <c r="A77" s="19" t="s">
        <v>37</v>
      </c>
      <c r="B77" s="19"/>
      <c r="C77" s="19"/>
      <c r="D77" s="19"/>
      <c r="E77" s="52">
        <f>E78+E79</f>
        <v>140000</v>
      </c>
    </row>
    <row r="78" spans="1:5" x14ac:dyDescent="0.3">
      <c r="A78" s="20" t="str">
        <f>"     + Excédent brut d'exploitation"</f>
        <v xml:space="preserve">     + Excédent brut d'exploitation</v>
      </c>
      <c r="B78" s="19"/>
      <c r="C78" s="19"/>
      <c r="D78" s="19"/>
      <c r="E78" s="49">
        <f>E68</f>
        <v>240000</v>
      </c>
    </row>
    <row r="79" spans="1:5" x14ac:dyDescent="0.3">
      <c r="A79" s="20" t="str">
        <f>"     - Dotation aux amortissements"</f>
        <v xml:space="preserve">     - Dotation aux amortissements</v>
      </c>
      <c r="B79" s="19"/>
      <c r="C79" s="19"/>
      <c r="D79" s="19"/>
      <c r="E79" s="49">
        <f>-E4/E5</f>
        <v>-100000</v>
      </c>
    </row>
    <row r="80" spans="1:5" ht="7.8" customHeight="1" x14ac:dyDescent="0.3">
      <c r="A80" s="19"/>
      <c r="B80" s="19"/>
      <c r="C80" s="19"/>
      <c r="D80" s="19"/>
      <c r="E80" s="52"/>
    </row>
    <row r="81" spans="1:9" ht="15.6" customHeight="1" x14ac:dyDescent="0.3">
      <c r="A81" s="19" t="s">
        <v>99</v>
      </c>
      <c r="B81" s="19"/>
      <c r="C81" s="19"/>
      <c r="D81" s="19"/>
      <c r="E81" s="52">
        <f>E82</f>
        <v>100000</v>
      </c>
    </row>
    <row r="82" spans="1:9" x14ac:dyDescent="0.3">
      <c r="A82" s="20" t="s">
        <v>40</v>
      </c>
      <c r="B82" s="19"/>
      <c r="C82" s="19"/>
      <c r="D82" s="19"/>
      <c r="E82" s="49">
        <f>E75-(E4-E5*E4/E5)</f>
        <v>100000</v>
      </c>
    </row>
    <row r="83" spans="1:9" ht="9" customHeight="1" x14ac:dyDescent="0.3">
      <c r="A83" s="19"/>
      <c r="B83" s="19"/>
      <c r="C83" s="19"/>
      <c r="D83" s="19"/>
      <c r="E83" s="21"/>
    </row>
    <row r="84" spans="1:9" ht="15.6" customHeight="1" x14ac:dyDescent="0.3">
      <c r="A84" s="19" t="s">
        <v>48</v>
      </c>
      <c r="B84" s="19"/>
      <c r="C84" s="19"/>
      <c r="D84" s="19"/>
      <c r="E84" s="52">
        <f>E85+E86</f>
        <v>96000</v>
      </c>
    </row>
    <row r="85" spans="1:9" ht="15.75" customHeight="1" x14ac:dyDescent="0.3">
      <c r="A85" s="20" t="s">
        <v>100</v>
      </c>
      <c r="B85" s="20"/>
      <c r="C85" s="20"/>
      <c r="D85" s="20"/>
      <c r="E85" s="49">
        <f>E62</f>
        <v>56000</v>
      </c>
    </row>
    <row r="86" spans="1:9" x14ac:dyDescent="0.3">
      <c r="A86" s="20" t="s">
        <v>101</v>
      </c>
      <c r="B86" s="20"/>
      <c r="C86" s="20"/>
      <c r="D86" s="20"/>
      <c r="E86" s="49">
        <f>E26*E82</f>
        <v>40000</v>
      </c>
    </row>
    <row r="87" spans="1:9" ht="9" customHeight="1" x14ac:dyDescent="0.3">
      <c r="A87" s="19"/>
      <c r="B87" s="19"/>
      <c r="C87" s="19"/>
      <c r="D87" s="19"/>
      <c r="E87" s="21"/>
    </row>
    <row r="88" spans="1:9" x14ac:dyDescent="0.3">
      <c r="A88" s="19" t="s">
        <v>93</v>
      </c>
      <c r="B88" s="19"/>
      <c r="C88" s="19"/>
      <c r="D88" s="19"/>
      <c r="E88" s="52">
        <f>E89+E90+E91+E92</f>
        <v>494000</v>
      </c>
    </row>
    <row r="89" spans="1:9" x14ac:dyDescent="0.3">
      <c r="A89" s="20" t="str">
        <f>"     + Excédent brut d'exploitation"</f>
        <v xml:space="preserve">     + Excédent brut d'exploitation</v>
      </c>
      <c r="B89" s="19"/>
      <c r="C89" s="19"/>
      <c r="D89" s="19"/>
      <c r="E89" s="49">
        <f>E68</f>
        <v>240000</v>
      </c>
    </row>
    <row r="90" spans="1:9" x14ac:dyDescent="0.3">
      <c r="A90" s="20" t="s">
        <v>90</v>
      </c>
      <c r="B90" s="19"/>
      <c r="C90" s="19"/>
      <c r="D90" s="19"/>
      <c r="E90" s="49">
        <f>-E73</f>
        <v>250000</v>
      </c>
      <c r="G90" s="88" t="s">
        <v>88</v>
      </c>
    </row>
    <row r="91" spans="1:9" x14ac:dyDescent="0.3">
      <c r="A91" s="20" t="str">
        <f>"     + CESval"</f>
        <v xml:space="preserve">     + CESval</v>
      </c>
      <c r="B91" s="19"/>
      <c r="C91" s="19"/>
      <c r="D91" s="19"/>
      <c r="E91" s="49">
        <f>E75</f>
        <v>100000</v>
      </c>
    </row>
    <row r="92" spans="1:9" x14ac:dyDescent="0.3">
      <c r="A92" s="20" t="str">
        <f>"     - IMPp"</f>
        <v xml:space="preserve">     - IMPp</v>
      </c>
      <c r="B92" s="19"/>
      <c r="C92" s="19"/>
      <c r="D92" s="19"/>
      <c r="E92" s="49">
        <f>-E84</f>
        <v>-96000</v>
      </c>
    </row>
    <row r="93" spans="1:9" x14ac:dyDescent="0.3">
      <c r="A93" s="1"/>
      <c r="E93" s="8"/>
    </row>
    <row r="94" spans="1:9" ht="19.95" customHeight="1" x14ac:dyDescent="0.3">
      <c r="A94" s="78" t="s">
        <v>50</v>
      </c>
      <c r="B94" s="79"/>
      <c r="C94" s="79"/>
      <c r="D94" s="79"/>
      <c r="E94" s="80"/>
      <c r="F94" s="79"/>
    </row>
    <row r="95" spans="1:9" ht="19.95" customHeight="1" x14ac:dyDescent="0.3">
      <c r="A95" s="81" t="s">
        <v>5</v>
      </c>
      <c r="B95" s="81" t="s">
        <v>6</v>
      </c>
      <c r="C95" s="81" t="s">
        <v>7</v>
      </c>
      <c r="D95" s="81" t="s">
        <v>8</v>
      </c>
      <c r="E95" s="81" t="s">
        <v>9</v>
      </c>
      <c r="F95" s="81" t="s">
        <v>10</v>
      </c>
      <c r="G95" s="9" t="s">
        <v>2</v>
      </c>
      <c r="H95" s="9" t="s">
        <v>2</v>
      </c>
      <c r="I95" s="9" t="s">
        <v>2</v>
      </c>
    </row>
    <row r="96" spans="1:9" ht="19.95" customHeight="1" x14ac:dyDescent="0.3">
      <c r="A96" s="82">
        <f>E49</f>
        <v>-750000</v>
      </c>
      <c r="B96" s="82">
        <f>$E$64</f>
        <v>184000</v>
      </c>
      <c r="C96" s="82">
        <f t="shared" ref="C96:E96" si="0">$E$64</f>
        <v>184000</v>
      </c>
      <c r="D96" s="82">
        <f t="shared" si="0"/>
        <v>184000</v>
      </c>
      <c r="E96" s="82">
        <f t="shared" si="0"/>
        <v>184000</v>
      </c>
      <c r="F96" s="82">
        <f>E88</f>
        <v>494000</v>
      </c>
      <c r="G96" s="10" t="s">
        <v>2</v>
      </c>
      <c r="H96" s="10" t="s">
        <v>2</v>
      </c>
      <c r="I96" s="10" t="s">
        <v>2</v>
      </c>
    </row>
    <row r="99" spans="1:6" ht="17.399999999999999" x14ac:dyDescent="0.3">
      <c r="A99" s="13" t="s">
        <v>54</v>
      </c>
    </row>
    <row r="100" spans="1:6" x14ac:dyDescent="0.3">
      <c r="A100" s="1"/>
    </row>
    <row r="101" spans="1:6" x14ac:dyDescent="0.3">
      <c r="A101" s="1" t="s">
        <v>43</v>
      </c>
    </row>
    <row r="102" spans="1:6" x14ac:dyDescent="0.3">
      <c r="A102" s="2" t="s">
        <v>44</v>
      </c>
      <c r="C102" s="27">
        <v>0.5</v>
      </c>
    </row>
    <row r="103" spans="1:6" x14ac:dyDescent="0.3">
      <c r="A103" s="2" t="s">
        <v>45</v>
      </c>
      <c r="C103" s="53">
        <f>1-C102</f>
        <v>0.5</v>
      </c>
    </row>
    <row r="104" spans="1:6" x14ac:dyDescent="0.3">
      <c r="A104" s="1"/>
    </row>
    <row r="105" spans="1:6" x14ac:dyDescent="0.3">
      <c r="A105" s="2" t="s">
        <v>46</v>
      </c>
      <c r="C105" s="6"/>
      <c r="E105" s="27">
        <v>0.1</v>
      </c>
      <c r="F105" s="5" t="s">
        <v>2</v>
      </c>
    </row>
    <row r="106" spans="1:6" x14ac:dyDescent="0.3">
      <c r="A106" s="2" t="s">
        <v>47</v>
      </c>
      <c r="E106" s="27">
        <v>0.14000000000000001</v>
      </c>
    </row>
    <row r="108" spans="1:6" x14ac:dyDescent="0.3">
      <c r="A108" s="44" t="s">
        <v>84</v>
      </c>
      <c r="B108" s="26"/>
      <c r="C108" s="26"/>
    </row>
    <row r="109" spans="1:6" ht="21" customHeight="1" x14ac:dyDescent="0.3">
      <c r="A109" s="83" t="s">
        <v>11</v>
      </c>
      <c r="B109" s="92">
        <v>0.1</v>
      </c>
      <c r="C109" s="92"/>
    </row>
    <row r="110" spans="1:6" x14ac:dyDescent="0.3">
      <c r="A110" s="55"/>
      <c r="B110" s="11"/>
    </row>
    <row r="112" spans="1:6" ht="17.399999999999999" x14ac:dyDescent="0.3">
      <c r="A112" s="13" t="s">
        <v>55</v>
      </c>
      <c r="E112" s="69"/>
    </row>
    <row r="114" spans="1:10" ht="21" customHeight="1" x14ac:dyDescent="0.3">
      <c r="A114" s="83" t="s">
        <v>12</v>
      </c>
      <c r="B114" s="84">
        <f>A96+NPV(B109,B96:F96)</f>
        <v>139990.37571949232</v>
      </c>
      <c r="C114" s="12"/>
      <c r="D114" s="83" t="s">
        <v>13</v>
      </c>
      <c r="E114" s="85">
        <f>IRR(A96:F96)</f>
        <v>0.16003187307801992</v>
      </c>
    </row>
    <row r="116" spans="1:10" x14ac:dyDescent="0.3">
      <c r="A116" s="1" t="s">
        <v>14</v>
      </c>
    </row>
    <row r="117" spans="1:10" x14ac:dyDescent="0.3">
      <c r="A117" s="1"/>
      <c r="D117" s="67"/>
      <c r="E117" s="67"/>
      <c r="F117" s="67"/>
      <c r="G117" s="67"/>
      <c r="H117" s="67"/>
    </row>
    <row r="118" spans="1:10" x14ac:dyDescent="0.3">
      <c r="A118" s="86" t="s">
        <v>15</v>
      </c>
      <c r="B118" s="86" t="s">
        <v>16</v>
      </c>
      <c r="C118" s="66"/>
      <c r="D118" s="71"/>
      <c r="E118" s="71"/>
      <c r="F118" s="90" t="s">
        <v>59</v>
      </c>
      <c r="G118" s="90"/>
      <c r="H118" s="90"/>
      <c r="J118" s="89" t="s">
        <v>89</v>
      </c>
    </row>
    <row r="119" spans="1:10" x14ac:dyDescent="0.3">
      <c r="A119" s="56">
        <v>0</v>
      </c>
      <c r="B119" s="54">
        <f>$A$96+NPV(A119,$B$96:$F$96)</f>
        <v>480000</v>
      </c>
      <c r="C119" s="58"/>
      <c r="D119" s="71"/>
      <c r="E119" s="70">
        <f>B114</f>
        <v>139990.37571949232</v>
      </c>
      <c r="F119" s="73">
        <v>400000</v>
      </c>
      <c r="G119" s="73">
        <v>500000</v>
      </c>
      <c r="H119" s="73">
        <v>600000</v>
      </c>
    </row>
    <row r="120" spans="1:10" x14ac:dyDescent="0.3">
      <c r="A120" s="56">
        <v>0.01</v>
      </c>
      <c r="B120" s="54">
        <f t="shared" ref="B120:B144" si="1">$A$96+NPV(A120,$B$96:$F$96)</f>
        <v>437985.71119391406</v>
      </c>
      <c r="C120" s="58"/>
      <c r="D120" s="91" t="s">
        <v>60</v>
      </c>
      <c r="E120" s="68">
        <v>0.05</v>
      </c>
      <c r="F120" s="71"/>
      <c r="G120" s="71"/>
      <c r="H120" s="71"/>
    </row>
    <row r="121" spans="1:10" x14ac:dyDescent="0.3">
      <c r="A121" s="56">
        <v>0.02</v>
      </c>
      <c r="B121" s="54">
        <f t="shared" si="1"/>
        <v>398053.10061204759</v>
      </c>
      <c r="C121" s="58"/>
      <c r="D121" s="91"/>
      <c r="E121" s="68">
        <v>0.1</v>
      </c>
      <c r="F121" s="71"/>
      <c r="G121" s="71"/>
      <c r="H121" s="71"/>
    </row>
    <row r="122" spans="1:10" x14ac:dyDescent="0.3">
      <c r="A122" s="56">
        <v>0.03</v>
      </c>
      <c r="B122" s="54">
        <f t="shared" si="1"/>
        <v>360074.84560288512</v>
      </c>
      <c r="C122" s="58"/>
      <c r="D122" s="91"/>
      <c r="E122" s="68">
        <v>0.15</v>
      </c>
      <c r="F122" s="71"/>
      <c r="G122" s="71"/>
      <c r="H122" s="71"/>
    </row>
    <row r="123" spans="1:10" x14ac:dyDescent="0.3">
      <c r="A123" s="56">
        <v>0.04</v>
      </c>
      <c r="B123" s="54">
        <f t="shared" si="1"/>
        <v>323932.71200238052</v>
      </c>
      <c r="C123" s="58"/>
      <c r="D123" s="91"/>
      <c r="E123" s="68">
        <v>0.2</v>
      </c>
      <c r="F123" s="71"/>
      <c r="G123" s="71"/>
      <c r="H123" s="71"/>
    </row>
    <row r="124" spans="1:10" x14ac:dyDescent="0.3">
      <c r="A124" s="56">
        <v>0.05</v>
      </c>
      <c r="B124" s="54">
        <f t="shared" si="1"/>
        <v>289516.81900129293</v>
      </c>
    </row>
    <row r="125" spans="1:10" x14ac:dyDescent="0.3">
      <c r="A125" s="56">
        <v>0.06</v>
      </c>
      <c r="B125" s="54">
        <f t="shared" si="1"/>
        <v>256724.97013256885</v>
      </c>
      <c r="D125" s="71"/>
      <c r="E125" s="71"/>
      <c r="F125" s="90" t="s">
        <v>59</v>
      </c>
      <c r="G125" s="90"/>
      <c r="H125" s="90"/>
    </row>
    <row r="126" spans="1:10" x14ac:dyDescent="0.3">
      <c r="A126" s="56">
        <v>7.0000000000000007E-2</v>
      </c>
      <c r="B126" s="54">
        <f t="shared" si="1"/>
        <v>225462.04385429434</v>
      </c>
      <c r="D126" s="71"/>
      <c r="E126" s="70">
        <f>B114</f>
        <v>139990.37571949232</v>
      </c>
      <c r="F126" s="73">
        <v>400000</v>
      </c>
      <c r="G126" s="73">
        <v>500000</v>
      </c>
      <c r="H126" s="73">
        <v>600000</v>
      </c>
    </row>
    <row r="127" spans="1:10" x14ac:dyDescent="0.3">
      <c r="A127" s="56">
        <v>0.08</v>
      </c>
      <c r="B127" s="54">
        <f t="shared" si="1"/>
        <v>195639.43790283101</v>
      </c>
      <c r="D127" s="91" t="s">
        <v>60</v>
      </c>
      <c r="E127" s="68">
        <v>0.05</v>
      </c>
      <c r="F127" s="72">
        <f t="dataTable" ref="F127:H130" dt2D="1" dtr="1" r1="E4" r2="B109"/>
        <v>354881.00563624629</v>
      </c>
      <c r="G127" s="72">
        <v>289516.81900129293</v>
      </c>
      <c r="H127" s="72">
        <v>224152.63236633944</v>
      </c>
    </row>
    <row r="128" spans="1:10" x14ac:dyDescent="0.3">
      <c r="A128" s="56">
        <v>0.09</v>
      </c>
      <c r="B128" s="54">
        <f t="shared" si="1"/>
        <v>167174.56220920279</v>
      </c>
      <c r="D128" s="91"/>
      <c r="E128" s="68">
        <v>0.1</v>
      </c>
      <c r="F128" s="72">
        <v>209664.08156422479</v>
      </c>
      <c r="G128" s="72">
        <v>139990.37571949232</v>
      </c>
      <c r="H128" s="72">
        <v>70316.669874759857</v>
      </c>
    </row>
    <row r="129" spans="1:8" x14ac:dyDescent="0.3">
      <c r="A129" s="56">
        <v>0.1</v>
      </c>
      <c r="B129" s="54">
        <f t="shared" si="1"/>
        <v>139990.37571949232</v>
      </c>
      <c r="D129" s="91"/>
      <c r="E129" s="68">
        <v>0.15</v>
      </c>
      <c r="F129" s="72">
        <v>94104.085192476748</v>
      </c>
      <c r="G129" s="72">
        <v>20921.325976567925</v>
      </c>
      <c r="H129" s="72">
        <v>-52261.433239340899</v>
      </c>
    </row>
    <row r="130" spans="1:8" x14ac:dyDescent="0.3">
      <c r="A130" s="56">
        <v>0.11</v>
      </c>
      <c r="B130" s="54">
        <f t="shared" si="1"/>
        <v>114014.96294565464</v>
      </c>
      <c r="D130" s="91"/>
      <c r="E130" s="68">
        <v>0.2</v>
      </c>
      <c r="F130" s="72">
        <v>929.78395061730407</v>
      </c>
      <c r="G130" s="72">
        <v>-75145.318930041161</v>
      </c>
      <c r="H130" s="72">
        <v>-151220.42181069951</v>
      </c>
    </row>
    <row r="131" spans="1:8" x14ac:dyDescent="0.3">
      <c r="A131" s="56">
        <v>0.12</v>
      </c>
      <c r="B131" s="54">
        <f t="shared" si="1"/>
        <v>89181.146504246513</v>
      </c>
    </row>
    <row r="132" spans="1:8" x14ac:dyDescent="0.3">
      <c r="A132" s="56">
        <v>0.13</v>
      </c>
      <c r="B132" s="54">
        <f t="shared" si="1"/>
        <v>65426.132283687009</v>
      </c>
    </row>
    <row r="133" spans="1:8" x14ac:dyDescent="0.3">
      <c r="A133" s="56">
        <v>0.14000000000000001</v>
      </c>
      <c r="B133" s="54">
        <f t="shared" si="1"/>
        <v>42691.18422149925</v>
      </c>
    </row>
    <row r="134" spans="1:8" x14ac:dyDescent="0.3">
      <c r="A134" s="56">
        <v>0.15</v>
      </c>
      <c r="B134" s="54">
        <f t="shared" si="1"/>
        <v>20921.325976567925</v>
      </c>
    </row>
    <row r="135" spans="1:8" x14ac:dyDescent="0.3">
      <c r="A135" s="56">
        <v>0.16</v>
      </c>
      <c r="B135" s="54">
        <f t="shared" si="1"/>
        <v>65.067052070167847</v>
      </c>
    </row>
    <row r="136" spans="1:8" x14ac:dyDescent="0.3">
      <c r="A136" s="56">
        <v>0.17</v>
      </c>
      <c r="B136" s="54">
        <f t="shared" si="1"/>
        <v>-19925.848833653843</v>
      </c>
    </row>
    <row r="137" spans="1:8" x14ac:dyDescent="0.3">
      <c r="A137" s="56">
        <v>0.18</v>
      </c>
      <c r="B137" s="54">
        <f t="shared" si="1"/>
        <v>-39096.67511524877</v>
      </c>
    </row>
    <row r="138" spans="1:8" x14ac:dyDescent="0.3">
      <c r="A138" s="56">
        <v>0.19</v>
      </c>
      <c r="B138" s="54">
        <f t="shared" si="1"/>
        <v>-57489.875281415298</v>
      </c>
    </row>
    <row r="139" spans="1:8" x14ac:dyDescent="0.3">
      <c r="A139" s="56">
        <v>0.2</v>
      </c>
      <c r="B139" s="54">
        <f t="shared" si="1"/>
        <v>-75145.318930041161</v>
      </c>
    </row>
    <row r="140" spans="1:8" x14ac:dyDescent="0.3">
      <c r="A140" s="56">
        <v>0.21</v>
      </c>
      <c r="B140" s="54">
        <f t="shared" si="1"/>
        <v>-92100.462443672819</v>
      </c>
    </row>
    <row r="141" spans="1:8" x14ac:dyDescent="0.3">
      <c r="A141" s="56">
        <v>0.22</v>
      </c>
      <c r="B141" s="54">
        <f t="shared" si="1"/>
        <v>-108390.51561273646</v>
      </c>
    </row>
    <row r="142" spans="1:8" x14ac:dyDescent="0.3">
      <c r="A142" s="56">
        <v>0.23</v>
      </c>
      <c r="B142" s="54">
        <f t="shared" si="1"/>
        <v>-124048.59540921717</v>
      </c>
    </row>
    <row r="143" spans="1:8" x14ac:dyDescent="0.3">
      <c r="A143" s="56">
        <v>0.24</v>
      </c>
      <c r="B143" s="54">
        <f t="shared" si="1"/>
        <v>-139105.86800146475</v>
      </c>
    </row>
    <row r="144" spans="1:8" x14ac:dyDescent="0.3">
      <c r="A144" s="56">
        <v>0.25</v>
      </c>
      <c r="B144" s="54">
        <f t="shared" si="1"/>
        <v>-153591.67999999993</v>
      </c>
    </row>
    <row r="145" spans="1:8" x14ac:dyDescent="0.3">
      <c r="A145" s="57"/>
      <c r="B145" s="58"/>
    </row>
    <row r="147" spans="1:8" ht="17.399999999999999" x14ac:dyDescent="0.3">
      <c r="A147" s="13" t="s">
        <v>56</v>
      </c>
    </row>
    <row r="149" spans="1:8" x14ac:dyDescent="0.3">
      <c r="A149" s="2" t="s">
        <v>41</v>
      </c>
      <c r="C149" s="87" t="s">
        <v>85</v>
      </c>
    </row>
    <row r="152" spans="1:8" x14ac:dyDescent="0.3">
      <c r="A152" s="2" t="s">
        <v>42</v>
      </c>
      <c r="C152" s="87" t="s">
        <v>85</v>
      </c>
    </row>
    <row r="155" spans="1:8" ht="17.399999999999999" x14ac:dyDescent="0.3">
      <c r="A155" s="13" t="s">
        <v>61</v>
      </c>
    </row>
    <row r="157" spans="1:8" x14ac:dyDescent="0.3">
      <c r="B157" s="22"/>
      <c r="C157" s="22"/>
      <c r="D157" s="77" t="s">
        <v>62</v>
      </c>
      <c r="E157" s="77" t="s">
        <v>63</v>
      </c>
      <c r="F157" s="77" t="s">
        <v>64</v>
      </c>
      <c r="G157" s="77" t="s">
        <v>65</v>
      </c>
      <c r="H157" s="77" t="s">
        <v>66</v>
      </c>
    </row>
    <row r="158" spans="1:8" x14ac:dyDescent="0.3">
      <c r="B158" s="28" t="s">
        <v>75</v>
      </c>
      <c r="C158" s="22"/>
      <c r="D158" s="22"/>
      <c r="E158" s="22"/>
      <c r="F158" s="22"/>
      <c r="G158" s="22"/>
      <c r="H158" s="22"/>
    </row>
    <row r="159" spans="1:8" x14ac:dyDescent="0.3">
      <c r="B159" s="22" t="s">
        <v>67</v>
      </c>
      <c r="C159" s="22"/>
      <c r="D159" s="50">
        <f>12*$E$21*$E$22</f>
        <v>600000</v>
      </c>
      <c r="E159" s="50">
        <f>12*$E$21*$E$22</f>
        <v>600000</v>
      </c>
      <c r="F159" s="50">
        <f>12*$E$21*$E$22</f>
        <v>600000</v>
      </c>
      <c r="G159" s="50">
        <f>12*$E$21*$E$22</f>
        <v>600000</v>
      </c>
      <c r="H159" s="50">
        <f>12*$E$21*$E$22</f>
        <v>600000</v>
      </c>
    </row>
    <row r="160" spans="1:8" x14ac:dyDescent="0.3">
      <c r="B160" s="74" t="s">
        <v>68</v>
      </c>
      <c r="C160" s="74"/>
      <c r="D160" s="75">
        <f>SUM(D159:D159)</f>
        <v>600000</v>
      </c>
      <c r="E160" s="75">
        <f t="shared" ref="E160:H160" si="2">SUM(E159:E159)</f>
        <v>600000</v>
      </c>
      <c r="F160" s="75">
        <f t="shared" si="2"/>
        <v>600000</v>
      </c>
      <c r="G160" s="75">
        <f t="shared" si="2"/>
        <v>600000</v>
      </c>
      <c r="H160" s="75">
        <f t="shared" si="2"/>
        <v>600000</v>
      </c>
    </row>
    <row r="161" spans="2:11" x14ac:dyDescent="0.3">
      <c r="B161" s="22"/>
      <c r="C161" s="22"/>
      <c r="D161" s="22"/>
      <c r="E161" s="22"/>
      <c r="F161" s="22"/>
      <c r="G161" s="22"/>
      <c r="H161" s="22"/>
    </row>
    <row r="162" spans="2:11" x14ac:dyDescent="0.3">
      <c r="B162" s="28" t="s">
        <v>76</v>
      </c>
      <c r="C162" s="22"/>
      <c r="D162" s="22"/>
      <c r="E162" s="22"/>
      <c r="F162" s="22"/>
      <c r="G162" s="22"/>
      <c r="H162" s="22"/>
    </row>
    <row r="163" spans="2:11" x14ac:dyDescent="0.3">
      <c r="B163" s="22" t="s">
        <v>20</v>
      </c>
      <c r="C163" s="22"/>
      <c r="D163" s="50">
        <f>(12+E14+E15)*$E$9*$E$10</f>
        <v>340000</v>
      </c>
      <c r="E163" s="50">
        <f>12*$E$9*$E$10</f>
        <v>240000</v>
      </c>
      <c r="F163" s="50">
        <f t="shared" ref="F163:G163" si="3">12*$E$9*$E$10</f>
        <v>240000</v>
      </c>
      <c r="G163" s="50">
        <f t="shared" si="3"/>
        <v>240000</v>
      </c>
      <c r="H163" s="50">
        <f>(12-E14-E15)*$E$9*$E$10</f>
        <v>140000</v>
      </c>
    </row>
    <row r="164" spans="2:11" x14ac:dyDescent="0.3">
      <c r="B164" s="22" t="s">
        <v>69</v>
      </c>
      <c r="C164" s="22"/>
      <c r="D164" s="50">
        <f>(12+E15)*E18</f>
        <v>140000</v>
      </c>
      <c r="E164" s="50">
        <f>12*$E$18</f>
        <v>120000</v>
      </c>
      <c r="F164" s="50">
        <f t="shared" ref="F164:G164" si="4">12*$E$18</f>
        <v>120000</v>
      </c>
      <c r="G164" s="50">
        <f t="shared" si="4"/>
        <v>120000</v>
      </c>
      <c r="H164" s="50">
        <f>(12-E15)*$E$18</f>
        <v>100000</v>
      </c>
    </row>
    <row r="165" spans="2:11" x14ac:dyDescent="0.3">
      <c r="B165" s="22" t="str">
        <f>"-Var.Stocks"</f>
        <v>-Var.Stocks</v>
      </c>
      <c r="C165" s="22"/>
      <c r="D165" s="50">
        <f>-(E44+E45-0)</f>
        <v>-120000</v>
      </c>
      <c r="E165" s="50"/>
      <c r="F165" s="50"/>
      <c r="G165" s="50"/>
      <c r="H165" s="50">
        <f>-D165</f>
        <v>120000</v>
      </c>
      <c r="K165" s="88" t="s">
        <v>88</v>
      </c>
    </row>
    <row r="166" spans="2:11" x14ac:dyDescent="0.3">
      <c r="B166" s="22" t="s">
        <v>70</v>
      </c>
      <c r="C166" s="22"/>
      <c r="D166" s="50">
        <f>$E$4/$E$5</f>
        <v>100000</v>
      </c>
      <c r="E166" s="50">
        <f t="shared" ref="E166:H166" si="5">$E$4/$E$5</f>
        <v>100000</v>
      </c>
      <c r="F166" s="50">
        <f t="shared" si="5"/>
        <v>100000</v>
      </c>
      <c r="G166" s="50">
        <f t="shared" si="5"/>
        <v>100000</v>
      </c>
      <c r="H166" s="50">
        <f t="shared" si="5"/>
        <v>100000</v>
      </c>
    </row>
    <row r="167" spans="2:11" x14ac:dyDescent="0.3">
      <c r="B167" s="74" t="s">
        <v>68</v>
      </c>
      <c r="C167" s="74"/>
      <c r="D167" s="75">
        <f>SUM(D163:D166)</f>
        <v>460000</v>
      </c>
      <c r="E167" s="75">
        <f t="shared" ref="E167:H167" si="6">SUM(E163:E166)</f>
        <v>460000</v>
      </c>
      <c r="F167" s="75">
        <f t="shared" si="6"/>
        <v>460000</v>
      </c>
      <c r="G167" s="75">
        <f t="shared" si="6"/>
        <v>460000</v>
      </c>
      <c r="H167" s="75">
        <f t="shared" si="6"/>
        <v>460000</v>
      </c>
    </row>
    <row r="168" spans="2:11" x14ac:dyDescent="0.3">
      <c r="B168" s="22"/>
      <c r="C168" s="22"/>
      <c r="D168" s="22"/>
      <c r="E168" s="22"/>
      <c r="F168" s="22"/>
      <c r="G168" s="22"/>
      <c r="H168" s="22"/>
    </row>
    <row r="169" spans="2:11" x14ac:dyDescent="0.3">
      <c r="B169" s="28" t="s">
        <v>77</v>
      </c>
      <c r="C169" s="28"/>
      <c r="D169" s="76">
        <f>D160-D167</f>
        <v>140000</v>
      </c>
      <c r="E169" s="76">
        <f t="shared" ref="E169:H169" si="7">E160-E167</f>
        <v>140000</v>
      </c>
      <c r="F169" s="76">
        <f t="shared" si="7"/>
        <v>140000</v>
      </c>
      <c r="G169" s="76">
        <f t="shared" si="7"/>
        <v>140000</v>
      </c>
      <c r="H169" s="76">
        <f t="shared" si="7"/>
        <v>140000</v>
      </c>
    </row>
    <row r="170" spans="2:11" x14ac:dyDescent="0.3">
      <c r="B170" s="22"/>
      <c r="C170" s="22"/>
      <c r="D170" s="50"/>
      <c r="E170" s="50"/>
      <c r="F170" s="50"/>
      <c r="G170" s="50"/>
      <c r="H170" s="50"/>
    </row>
    <row r="171" spans="2:11" x14ac:dyDescent="0.3">
      <c r="B171" s="28" t="s">
        <v>78</v>
      </c>
      <c r="C171" s="22"/>
      <c r="D171" s="50"/>
      <c r="E171" s="50"/>
      <c r="F171" s="50"/>
      <c r="G171" s="50"/>
      <c r="H171" s="50"/>
    </row>
    <row r="172" spans="2:11" x14ac:dyDescent="0.3">
      <c r="B172" s="22" t="s">
        <v>71</v>
      </c>
      <c r="C172" s="22"/>
      <c r="D172" s="22"/>
      <c r="E172" s="22"/>
      <c r="F172" s="22"/>
      <c r="G172" s="22"/>
      <c r="H172" s="50">
        <f>E6</f>
        <v>100000</v>
      </c>
    </row>
    <row r="173" spans="2:11" x14ac:dyDescent="0.3">
      <c r="B173" s="74" t="s">
        <v>68</v>
      </c>
      <c r="C173" s="74"/>
      <c r="D173" s="75">
        <f>D172</f>
        <v>0</v>
      </c>
      <c r="E173" s="75">
        <f t="shared" ref="E173:H173" si="8">E172</f>
        <v>0</v>
      </c>
      <c r="F173" s="75">
        <f t="shared" si="8"/>
        <v>0</v>
      </c>
      <c r="G173" s="75">
        <f t="shared" si="8"/>
        <v>0</v>
      </c>
      <c r="H173" s="75">
        <f t="shared" si="8"/>
        <v>100000</v>
      </c>
    </row>
    <row r="174" spans="2:11" x14ac:dyDescent="0.3">
      <c r="B174" s="22"/>
      <c r="C174" s="22"/>
      <c r="D174" s="50"/>
      <c r="E174" s="50"/>
      <c r="F174" s="50"/>
      <c r="G174" s="50"/>
      <c r="H174" s="50"/>
    </row>
    <row r="175" spans="2:11" x14ac:dyDescent="0.3">
      <c r="B175" s="28" t="s">
        <v>79</v>
      </c>
      <c r="C175" s="22"/>
      <c r="D175" s="50"/>
      <c r="E175" s="50"/>
      <c r="F175" s="50"/>
      <c r="G175" s="50"/>
      <c r="H175" s="50"/>
    </row>
    <row r="176" spans="2:11" x14ac:dyDescent="0.3">
      <c r="B176" s="22" t="s">
        <v>80</v>
      </c>
      <c r="C176" s="22"/>
      <c r="D176" s="50"/>
      <c r="E176" s="50"/>
      <c r="F176" s="50"/>
      <c r="G176" s="50"/>
      <c r="H176" s="50"/>
    </row>
    <row r="177" spans="2:8" x14ac:dyDescent="0.3">
      <c r="B177" s="74" t="s">
        <v>68</v>
      </c>
      <c r="C177" s="74"/>
      <c r="D177" s="75">
        <f>D176</f>
        <v>0</v>
      </c>
      <c r="E177" s="75">
        <f t="shared" ref="E177" si="9">E176</f>
        <v>0</v>
      </c>
      <c r="F177" s="75">
        <f t="shared" ref="F177" si="10">F176</f>
        <v>0</v>
      </c>
      <c r="G177" s="75">
        <f t="shared" ref="G177" si="11">G176</f>
        <v>0</v>
      </c>
      <c r="H177" s="75">
        <f t="shared" ref="H177" si="12">H176</f>
        <v>0</v>
      </c>
    </row>
    <row r="178" spans="2:8" x14ac:dyDescent="0.3">
      <c r="B178" s="22"/>
      <c r="C178" s="22"/>
      <c r="D178" s="22"/>
      <c r="E178" s="22"/>
      <c r="F178" s="22"/>
      <c r="G178" s="22"/>
      <c r="H178" s="22"/>
    </row>
    <row r="179" spans="2:8" x14ac:dyDescent="0.3">
      <c r="B179" s="28" t="s">
        <v>81</v>
      </c>
      <c r="C179" s="28"/>
      <c r="D179" s="76">
        <f>D173-D177</f>
        <v>0</v>
      </c>
      <c r="E179" s="76">
        <f t="shared" ref="E179:H179" si="13">E173-E177</f>
        <v>0</v>
      </c>
      <c r="F179" s="76">
        <f t="shared" si="13"/>
        <v>0</v>
      </c>
      <c r="G179" s="76">
        <f t="shared" si="13"/>
        <v>0</v>
      </c>
      <c r="H179" s="76">
        <f t="shared" si="13"/>
        <v>100000</v>
      </c>
    </row>
    <row r="180" spans="2:8" x14ac:dyDescent="0.3">
      <c r="B180" s="22"/>
      <c r="C180" s="22"/>
      <c r="D180" s="22"/>
      <c r="E180" s="22"/>
      <c r="F180" s="22"/>
      <c r="G180" s="22"/>
      <c r="H180" s="22"/>
    </row>
    <row r="181" spans="2:8" x14ac:dyDescent="0.3">
      <c r="B181" s="28" t="s">
        <v>82</v>
      </c>
      <c r="C181" s="28"/>
      <c r="D181" s="76">
        <f>D169</f>
        <v>140000</v>
      </c>
      <c r="E181" s="76">
        <f t="shared" ref="E181:H181" si="14">E169+E179</f>
        <v>140000</v>
      </c>
      <c r="F181" s="76">
        <f t="shared" si="14"/>
        <v>140000</v>
      </c>
      <c r="G181" s="76">
        <f t="shared" si="14"/>
        <v>140000</v>
      </c>
      <c r="H181" s="76">
        <f t="shared" si="14"/>
        <v>240000</v>
      </c>
    </row>
    <row r="182" spans="2:8" x14ac:dyDescent="0.3">
      <c r="B182" s="22"/>
      <c r="C182" s="22"/>
      <c r="D182" s="22"/>
      <c r="E182" s="22"/>
      <c r="F182" s="22"/>
      <c r="G182" s="22"/>
      <c r="H182" s="22"/>
    </row>
    <row r="183" spans="2:8" x14ac:dyDescent="0.3">
      <c r="B183" s="28" t="s">
        <v>72</v>
      </c>
      <c r="C183" s="28"/>
      <c r="D183" s="76">
        <f>$E$26*D181</f>
        <v>56000</v>
      </c>
      <c r="E183" s="76">
        <f t="shared" ref="E183:H183" si="15">$E$26*E181</f>
        <v>56000</v>
      </c>
      <c r="F183" s="76">
        <f t="shared" si="15"/>
        <v>56000</v>
      </c>
      <c r="G183" s="76">
        <f t="shared" si="15"/>
        <v>56000</v>
      </c>
      <c r="H183" s="76">
        <f t="shared" si="15"/>
        <v>96000</v>
      </c>
    </row>
    <row r="184" spans="2:8" x14ac:dyDescent="0.3">
      <c r="B184" s="22"/>
      <c r="C184" s="22"/>
      <c r="D184" s="22"/>
      <c r="E184" s="22"/>
      <c r="F184" s="22"/>
      <c r="G184" s="22"/>
      <c r="H184" s="22"/>
    </row>
    <row r="185" spans="2:8" x14ac:dyDescent="0.3">
      <c r="B185" s="28" t="s">
        <v>73</v>
      </c>
      <c r="C185" s="28"/>
      <c r="D185" s="76">
        <f>D181-D183</f>
        <v>84000</v>
      </c>
      <c r="E185" s="76">
        <f t="shared" ref="E185:H185" si="16">E181-E183</f>
        <v>84000</v>
      </c>
      <c r="F185" s="76">
        <f t="shared" si="16"/>
        <v>84000</v>
      </c>
      <c r="G185" s="76">
        <f t="shared" si="16"/>
        <v>84000</v>
      </c>
      <c r="H185" s="76">
        <f t="shared" si="16"/>
        <v>144000</v>
      </c>
    </row>
    <row r="187" spans="2:8" x14ac:dyDescent="0.3">
      <c r="B187" s="28" t="s">
        <v>74</v>
      </c>
      <c r="C187" s="28"/>
      <c r="D187" s="76">
        <f>D169+D166</f>
        <v>240000</v>
      </c>
      <c r="E187" s="76">
        <f t="shared" ref="E187:H187" si="17">E169+E166</f>
        <v>240000</v>
      </c>
      <c r="F187" s="76">
        <f t="shared" si="17"/>
        <v>240000</v>
      </c>
      <c r="G187" s="76">
        <f t="shared" si="17"/>
        <v>240000</v>
      </c>
      <c r="H187" s="76">
        <f t="shared" si="17"/>
        <v>240000</v>
      </c>
    </row>
  </sheetData>
  <dataConsolidate/>
  <mergeCells count="5">
    <mergeCell ref="F118:H118"/>
    <mergeCell ref="D120:D123"/>
    <mergeCell ref="F125:H125"/>
    <mergeCell ref="D127:D130"/>
    <mergeCell ref="B109:C109"/>
  </mergeCells>
  <phoneticPr fontId="0" type="noConversion"/>
  <conditionalFormatting sqref="F127:H1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 gridLinesSet="0"/>
  <pageMargins left="0.75" right="0.75" top="1" bottom="1" header="0.5" footer="0.5"/>
  <pageSetup paperSize="9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Données</vt:lpstr>
      <vt:lpstr>Fig. Flux</vt:lpstr>
      <vt:lpstr>Fig. VNP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Longin</dc:creator>
  <cp:lastModifiedBy>Longin</cp:lastModifiedBy>
  <cp:lastPrinted>2001-05-07T16:49:18Z</cp:lastPrinted>
  <dcterms:created xsi:type="dcterms:W3CDTF">1998-11-15T19:07:23Z</dcterms:created>
  <dcterms:modified xsi:type="dcterms:W3CDTF">2022-05-07T22:15:47Z</dcterms:modified>
</cp:coreProperties>
</file>