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rs\GF Gestion financière\Polycopié GF\Séance 7\"/>
    </mc:Choice>
  </mc:AlternateContent>
  <xr:revisionPtr revIDLastSave="0" documentId="13_ncr:1_{2FFAFD05-F77C-4A96-83A3-47B70CBDF2C3}" xr6:coauthVersionLast="36" xr6:coauthVersionMax="36" xr10:uidLastSave="{00000000-0000-0000-0000-000000000000}"/>
  <bookViews>
    <workbookView xWindow="120" yWindow="75" windowWidth="9240" windowHeight="4440" tabRatio="601" xr2:uid="{00000000-000D-0000-FFFF-FFFF00000000}"/>
  </bookViews>
  <sheets>
    <sheet name="Données" sheetId="1" r:id="rId1"/>
    <sheet name="Comptabilité (FP et D)" sheetId="4" r:id="rId2"/>
    <sheet name="Flux et valeur (FP et D)" sheetId="5" r:id="rId3"/>
    <sheet name="Comptabilité (FP)" sheetId="2" r:id="rId4"/>
    <sheet name="Flux et valeur (FP)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3" l="1"/>
  <c r="D58" i="3"/>
  <c r="C6" i="4"/>
  <c r="C7" i="4"/>
  <c r="C15" i="4"/>
  <c r="D15" i="4"/>
  <c r="C16" i="4"/>
  <c r="C26" i="4" s="1"/>
  <c r="C27" i="4"/>
  <c r="C35" i="4"/>
  <c r="D35" i="4"/>
  <c r="D40" i="4" s="1"/>
  <c r="C36" i="4"/>
  <c r="C47" i="4"/>
  <c r="C58" i="4"/>
  <c r="D58" i="4"/>
  <c r="C6" i="2"/>
  <c r="C7" i="2"/>
  <c r="C15" i="2"/>
  <c r="D15" i="2"/>
  <c r="C16" i="2"/>
  <c r="C25" i="2" s="1"/>
  <c r="C34" i="2"/>
  <c r="D34" i="2"/>
  <c r="C35" i="2"/>
  <c r="C56" i="2"/>
  <c r="D56" i="2"/>
  <c r="C20" i="1"/>
  <c r="C15" i="1"/>
  <c r="D6" i="4" s="1"/>
  <c r="H6" i="4" s="1"/>
  <c r="G6" i="5" s="1"/>
  <c r="C16" i="1"/>
  <c r="D28" i="4" s="1"/>
  <c r="C6" i="5"/>
  <c r="D6" i="5"/>
  <c r="E21" i="5"/>
  <c r="E22" i="5"/>
  <c r="C6" i="3"/>
  <c r="D13" i="3"/>
  <c r="D18" i="3"/>
  <c r="D19" i="2" l="1"/>
  <c r="N17" i="2"/>
  <c r="C17" i="2" s="1"/>
  <c r="D38" i="2"/>
  <c r="N36" i="2"/>
  <c r="C36" i="2" s="1"/>
  <c r="D20" i="4"/>
  <c r="D7" i="4"/>
  <c r="H7" i="4" s="1"/>
  <c r="F6" i="5" s="1"/>
  <c r="I6" i="5" s="1"/>
  <c r="C37" i="4"/>
  <c r="H37" i="4" s="1"/>
  <c r="G13" i="5"/>
  <c r="D26" i="4"/>
  <c r="D46" i="4" s="1"/>
  <c r="E13" i="5"/>
  <c r="D6" i="2"/>
  <c r="H6" i="2" s="1"/>
  <c r="D6" i="3" s="1"/>
  <c r="F6" i="3" s="1"/>
  <c r="E15" i="5"/>
  <c r="C17" i="4"/>
  <c r="H17" i="4" s="1"/>
  <c r="F7" i="5" s="1"/>
  <c r="D25" i="2"/>
  <c r="D44" i="2" s="1"/>
  <c r="C9" i="2"/>
  <c r="H48" i="4"/>
  <c r="C9" i="4"/>
  <c r="C8" i="2" l="1"/>
  <c r="D9" i="2"/>
  <c r="N38" i="4"/>
  <c r="C38" i="4" s="1"/>
  <c r="C39" i="4" s="1"/>
  <c r="H47" i="4" s="1"/>
  <c r="N18" i="4"/>
  <c r="C18" i="4" s="1"/>
  <c r="C19" i="4" s="1"/>
  <c r="H27" i="4" s="1"/>
  <c r="G7" i="5" s="1"/>
  <c r="D9" i="4"/>
  <c r="C8" i="4" s="1"/>
  <c r="F8" i="5"/>
  <c r="F39" i="5" s="1"/>
  <c r="H28" i="4"/>
  <c r="H25" i="2"/>
  <c r="H26" i="4"/>
  <c r="C18" i="2"/>
  <c r="C19" i="2" s="1"/>
  <c r="C37" i="2"/>
  <c r="H45" i="2" s="1"/>
  <c r="E8" i="5" l="1"/>
  <c r="C40" i="4"/>
  <c r="C28" i="4"/>
  <c r="C48" i="4" s="1"/>
  <c r="C49" i="4" s="1"/>
  <c r="C20" i="4"/>
  <c r="D27" i="4"/>
  <c r="D47" i="4" s="1"/>
  <c r="E7" i="5"/>
  <c r="C27" i="2"/>
  <c r="C46" i="2" s="1"/>
  <c r="C47" i="2" s="1"/>
  <c r="H26" i="2"/>
  <c r="D7" i="3" s="1"/>
  <c r="D26" i="2"/>
  <c r="D45" i="2" s="1"/>
  <c r="C38" i="2"/>
  <c r="F33" i="5" l="1"/>
  <c r="D28" i="2"/>
  <c r="C8" i="5"/>
  <c r="D8" i="5" s="1"/>
  <c r="C7" i="5"/>
  <c r="C29" i="4"/>
  <c r="D29" i="4"/>
  <c r="C7" i="3"/>
  <c r="C28" i="2"/>
  <c r="C8" i="3"/>
  <c r="D47" i="2"/>
  <c r="H53" i="2"/>
  <c r="D8" i="3" s="1"/>
  <c r="D49" i="4"/>
  <c r="H55" i="4"/>
  <c r="G8" i="5" s="1"/>
  <c r="F38" i="5" s="1"/>
  <c r="F27" i="5" l="1"/>
  <c r="D7" i="5"/>
  <c r="F32" i="5" s="1"/>
  <c r="D23" i="3"/>
  <c r="F7" i="3"/>
  <c r="D28" i="3"/>
  <c r="F8" i="3"/>
  <c r="I8" i="5"/>
  <c r="F40" i="5"/>
  <c r="G14" i="5"/>
  <c r="F31" i="5" l="1"/>
  <c r="F29" i="5"/>
  <c r="I7" i="5"/>
  <c r="E14" i="5"/>
  <c r="F28" i="5" s="1"/>
  <c r="E16" i="5"/>
  <c r="F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</author>
  </authors>
  <commentList>
    <comment ref="C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Essayer deux valeurs : 40% et 0%</t>
        </r>
      </text>
    </comment>
    <comment ref="C2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Essayer deux valeurs : 0% et 100%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</author>
    <author>François Longin</author>
  </authors>
  <commentList>
    <comment ref="I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Vérification de l'égalité des flux de trésorerie :
I(e) = I(e=0) + EcIMPp (e) = C + A </t>
        </r>
      </text>
    </comment>
    <comment ref="E2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Le taux de rémunération demandé par les actionnaires doit tenir compte de l'endettement (risque financier lié à l'effet de levier).
Ce taux peut être déterminé en égalisant les valeurs de l'entreprise ou le taux d'actualisation (10%) avec ou sans imposition (en supposant constant le ratio d'endettement constant).
Utiliser la fonction "Valeur cible"  / "Goal seek" sur Excel.</t>
        </r>
      </text>
    </comment>
    <comment ref="E2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Le taux de rémunération demandé par les créanciers doit tenir compte de l'endettement (risque financier lié à l'effet de levier).</t>
        </r>
      </text>
    </comment>
    <comment ref="H31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 xml:space="preserve">Prof. Longin:
</t>
        </r>
        <r>
          <rPr>
            <sz val="10"/>
            <color indexed="81"/>
            <rFont val="Tahoma"/>
            <family val="2"/>
          </rPr>
          <t xml:space="preserve">Le taux de rémunération demandé par les actionnaires doit tenir compte de l'endettement (risque financier lié à l'effet de levier).
Ce taux peut être déterminé en égalisant les valeurs de l'entreprise ou le taux d'actualisation (10%) avec ou sans imposition (en supposant constant le ratio d'endettement constant).
Utiliser la fonction "Valeur cible"  / "Goal seek" sur Excel.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</author>
  </authors>
  <commentList>
    <comment ref="F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Longin:</t>
        </r>
        <r>
          <rPr>
            <sz val="8"/>
            <color indexed="81"/>
            <rFont val="Tahoma"/>
            <family val="2"/>
          </rPr>
          <t xml:space="preserve">
Vérification de l'égalité des flux de trésorerie</t>
        </r>
      </text>
    </comment>
  </commentList>
</comments>
</file>

<file path=xl/sharedStrings.xml><?xml version="1.0" encoding="utf-8"?>
<sst xmlns="http://schemas.openxmlformats.org/spreadsheetml/2006/main" count="246" uniqueCount="101">
  <si>
    <t>Exemple - Valorisation de l'entreprise</t>
  </si>
  <si>
    <t>Rappel des données:</t>
  </si>
  <si>
    <t xml:space="preserve"> ans</t>
  </si>
  <si>
    <t>Comptabilité du projet - Financement par fonds propres uniquement</t>
  </si>
  <si>
    <t>ACTIF</t>
  </si>
  <si>
    <t>PASSIF</t>
  </si>
  <si>
    <t>Imn</t>
  </si>
  <si>
    <t>CAP</t>
  </si>
  <si>
    <t>S</t>
  </si>
  <si>
    <t xml:space="preserve"> </t>
  </si>
  <si>
    <t>DIS</t>
  </si>
  <si>
    <t>Total</t>
  </si>
  <si>
    <r>
      <t>D</t>
    </r>
    <r>
      <rPr>
        <b/>
        <sz val="12"/>
        <rFont val="Arial"/>
        <family val="2"/>
      </rPr>
      <t xml:space="preserve">CAP = </t>
    </r>
  </si>
  <si>
    <t>CHARGES</t>
  </si>
  <si>
    <t>PRODUITS</t>
  </si>
  <si>
    <t>Achats</t>
  </si>
  <si>
    <t>Ventes</t>
  </si>
  <si>
    <t>Dot.Am</t>
  </si>
  <si>
    <t>IS</t>
  </si>
  <si>
    <t>BENnet</t>
  </si>
  <si>
    <t>RES</t>
  </si>
  <si>
    <t xml:space="preserve">   </t>
  </si>
  <si>
    <t>Détermination des flux</t>
  </si>
  <si>
    <t>Date</t>
  </si>
  <si>
    <t>I(e=0)</t>
  </si>
  <si>
    <t>A</t>
  </si>
  <si>
    <t>Détermination du taux d'actualisation pour les flux de l'actif</t>
  </si>
  <si>
    <t>Détermination du taux d'actualisation pour les flux du passif</t>
  </si>
  <si>
    <t>Evaluation par l'actif</t>
  </si>
  <si>
    <t>Evaluation par le passif</t>
  </si>
  <si>
    <t>Comptabilité du projet - Financement par fonds propres et par dette</t>
  </si>
  <si>
    <t>Dette</t>
  </si>
  <si>
    <r>
      <t>D</t>
    </r>
    <r>
      <rPr>
        <b/>
        <sz val="12"/>
        <rFont val="Arial"/>
        <family val="2"/>
      </rPr>
      <t xml:space="preserve">Dette = </t>
    </r>
  </si>
  <si>
    <t>Fr.Fin</t>
  </si>
  <si>
    <t>Fr.Fin =</t>
  </si>
  <si>
    <t>I(e)</t>
  </si>
  <si>
    <t>Ec.Imp(e)</t>
  </si>
  <si>
    <t>C</t>
  </si>
  <si>
    <r>
      <t>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 = </t>
    </r>
  </si>
  <si>
    <r>
      <t>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 xml:space="preserve"> = </t>
    </r>
  </si>
  <si>
    <t>Détermination des taux d'actualisation pour les flux du passif</t>
  </si>
  <si>
    <t>Ecart :</t>
  </si>
  <si>
    <t>Explication de l'écart :</t>
  </si>
  <si>
    <t>Taux de distribution
 des dividendes</t>
  </si>
  <si>
    <t>Valeur
de l'entreprise</t>
  </si>
  <si>
    <t xml:space="preserve"> (dividende investi ou non investi)</t>
  </si>
  <si>
    <t>Vérification</t>
  </si>
  <si>
    <t>CAS 2 : financement par fonds propres uniquement</t>
  </si>
  <si>
    <t>CAS 1 : financement mixte par fonds propres et par dette</t>
  </si>
  <si>
    <t>Durée du projet</t>
  </si>
  <si>
    <t>Prix d'acquisition de la machine</t>
  </si>
  <si>
    <t>Montant des achats annuels</t>
  </si>
  <si>
    <t>Montant moyen des ventes annuelles</t>
  </si>
  <si>
    <t xml:space="preserve">  Montant du capital</t>
  </si>
  <si>
    <t xml:space="preserve">  Montant de la dette</t>
  </si>
  <si>
    <r>
      <t xml:space="preserve">  Ratio d'endettement comptable (e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) </t>
    </r>
  </si>
  <si>
    <r>
      <t xml:space="preserve">  Ratio d'endettement comptable (e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</si>
  <si>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r>
      <t>Taux de rémunération de la dette (r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 ou i)</t>
    </r>
  </si>
  <si>
    <r>
      <t>Taux de rémunération des fonds propres  (r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ou k)</t>
    </r>
  </si>
  <si>
    <t>Taux de distribution de dividendes</t>
  </si>
  <si>
    <t>Taux d'imposition des bénéfices</t>
  </si>
  <si>
    <t>DMLT</t>
  </si>
  <si>
    <r>
      <t>Note : achats 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janvier de l'année 1</t>
    </r>
  </si>
  <si>
    <t>Résultat brut avant impôt :</t>
  </si>
  <si>
    <t>Note : bilan après affectation du résultat, paiement des dividendes, paiment des intérêts et paiement de l'impôt</t>
  </si>
  <si>
    <r>
      <t>Note : achats 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janvier de l'année 2</t>
    </r>
  </si>
  <si>
    <t>Note : bilan après affectation du résultat, paiement des dividendes, paiment des intérêts, paiement de l'impôt et remboursement de la dette</t>
  </si>
  <si>
    <t>Note : bilan après affectation du résultat, paiement des dividendes et paiement de l'impôt</t>
  </si>
  <si>
    <t xml:space="preserve">DIVp = </t>
  </si>
  <si>
    <r>
      <t>Fonds propres (r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</si>
  <si>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t>Investissement (r)</t>
  </si>
  <si>
    <t>Investissement VP(I(e=0), r)</t>
  </si>
  <si>
    <r>
      <t>Fonds propres VP(A, 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</si>
  <si>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VP(I(e), 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</si>
  <si>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VP(I(e), 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</si>
  <si>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VP(I(e=0), 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·(1-</t>
    </r>
    <r>
      <rPr>
        <sz val="12"/>
        <rFont val="Calibri"/>
        <family val="2"/>
      </rPr>
      <t>τ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</si>
  <si>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VP(I(e=0), 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·(1-</t>
    </r>
    <r>
      <rPr>
        <sz val="12"/>
        <rFont val="Calibri"/>
        <family val="2"/>
      </rPr>
      <t>τ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</si>
  <si>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 xml:space="preserve">Investissement VP(I(e=0), </t>
    </r>
    <r>
      <rPr>
        <sz val="12"/>
        <rFont val="Arial"/>
        <family val="2"/>
      </rPr>
      <t>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 + VP(Ec.Imp(e), i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</si>
  <si>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r>
      <t>Investissement (e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</si>
  <si>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(e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·r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</si>
  <si>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(e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·(1-</t>
    </r>
    <r>
      <rPr>
        <sz val="12"/>
        <rFont val="Calibri"/>
        <family val="2"/>
      </rPr>
      <t>τ</t>
    </r>
    <r>
      <rPr>
        <sz val="12"/>
        <rFont val="Arial"/>
        <family val="2"/>
      </rPr>
      <t>)·</t>
    </r>
    <r>
      <rPr>
        <sz val="12"/>
        <rFont val="Arial"/>
        <family val="2"/>
      </rPr>
      <t>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</si>
  <si>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Investissement (e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·(1-</t>
    </r>
    <r>
      <rPr>
        <sz val="12"/>
        <rFont val="Calibri"/>
        <family val="2"/>
      </rPr>
      <t>τ</t>
    </r>
    <r>
      <rPr>
        <sz val="12"/>
        <rFont val="Arial"/>
        <family val="2"/>
      </rPr>
      <t>)·</t>
    </r>
    <r>
      <rPr>
        <sz val="12"/>
        <rFont val="Arial"/>
        <family val="2"/>
      </rPr>
      <t>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+(1-e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)·r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</t>
    </r>
  </si>
  <si>
    <r>
      <t>Dette VP(C, 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</si>
  <si>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r>
      <t>Fonds propres et dette VP(A, 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) + VP(C, 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</si>
  <si>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r>
      <t>Bilan en t=0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 juste après la création de l'entreprise</t>
    </r>
  </si>
  <si>
    <r>
      <t>Compte de résultat de t=0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à t=1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du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janvier au 31 décembre de l'année 1</t>
    </r>
  </si>
  <si>
    <r>
      <t>Bilan en t=1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au 31 décembre de l'année 1</t>
    </r>
  </si>
  <si>
    <r>
      <t>Compte de résultat de t=1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 à t=2 du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janvier au 31 décembre de l'année 2</t>
    </r>
  </si>
  <si>
    <r>
      <t>Bilan en t=2</t>
    </r>
    <r>
      <rPr>
        <b/>
        <vertAlign val="superscript"/>
        <sz val="12"/>
        <rFont val="Arial"/>
        <family val="2"/>
      </rPr>
      <t xml:space="preserve">- </t>
    </r>
    <r>
      <rPr>
        <b/>
        <sz val="12"/>
        <rFont val="Arial"/>
        <family val="2"/>
      </rPr>
      <t xml:space="preserve">au 31 décembre de l'année 2 </t>
    </r>
    <r>
      <rPr>
        <b/>
        <i/>
        <sz val="12"/>
        <rFont val="Arial"/>
        <family val="2"/>
      </rPr>
      <t>avant</t>
    </r>
    <r>
      <rPr>
        <b/>
        <sz val="12"/>
        <rFont val="Arial"/>
        <family val="2"/>
      </rPr>
      <t xml:space="preserve"> liquidation</t>
    </r>
  </si>
  <si>
    <r>
      <t>Bilan en t=2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au 31 décembre de l'année 2 </t>
    </r>
    <r>
      <rPr>
        <b/>
        <i/>
        <sz val="12"/>
        <rFont val="Arial"/>
        <family val="2"/>
      </rPr>
      <t>après</t>
    </r>
    <r>
      <rPr>
        <b/>
        <sz val="12"/>
        <rFont val="Arial"/>
        <family val="2"/>
      </rPr>
      <t xml:space="preserve"> liquidation</t>
    </r>
  </si>
  <si>
    <t>Bilan en t=0+ juste après la création de l'entreprise</t>
  </si>
  <si>
    <t>Note : bilan d'ouverture incluant les premiers investissements et financements</t>
  </si>
  <si>
    <r>
      <t xml:space="preserve">   Investissement VP(Ec.Imp(e), i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)</t>
    </r>
  </si>
  <si>
    <r>
      <t xml:space="preserve">   Investissement VP(I(e=0), r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>)</t>
    </r>
  </si>
  <si>
    <r>
      <t>Dette (r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</si>
  <si>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t>Question : comment expliquer les (petites) différences de la valorisation de l'investissement (actif de l'entreprise) ?</t>
  </si>
  <si>
    <r>
      <t>Hypothèse : les flux d'impôt sont actualisés au taux sans risque i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(égal ici au taux d'actualisation de la dette).</t>
    </r>
  </si>
  <si>
    <t>Question : comment expliquer les (petites) différences de la valorisation de l'entreprise à partir de l'investissement (actif du bilan) et des financements (passif du bilan) ?</t>
  </si>
  <si>
    <r>
      <t>Note : un calcul plus précis (et exact) nécessiterait d'utiliser un taux d'actualisation prenant en compte la structure financière : 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(e=0) et  r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(e)</t>
    </r>
  </si>
  <si>
    <t>Analyse des flux et calcul de la valeur de l'entreprise - Financement par fonds propres et par dette</t>
  </si>
  <si>
    <t>Analyse des flux et calcul de la valeur de l'entreprise - Financement par fonds propres uniquement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</si>
</sst>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,##0\ \K&quot;F&quot;"/>
    <numFmt numFmtId="165" formatCode="#,##0.00\ \K&quot;F&quot;"/>
    <numFmt numFmtId="166" formatCode="#,##0\ \M\E"/>
    <numFmt numFmtId="167" formatCode="#,##0.00\ \M\E"/>
    <numFmt numFmtId="168" formatCode="#,##0\ \M\€"/>
    <numFmt numFmtId="169" formatCode="#,##0.00\ \M\€"/>
    <numFmt numFmtId="170" formatCode="0.00_ ;\-0.00\ "/>
  </numFmts>
  <fonts count="28" x14ac:knownFonts="1">
    <font>
      <sz val="12"/>
      <name val="Arial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Symbol"/>
      <family val="1"/>
      <charset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9" fontId="5" fillId="0" borderId="0" xfId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168" fontId="5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9" fontId="5" fillId="4" borderId="0" xfId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0" applyFont="1" applyFill="1" applyAlignment="1">
      <alignment vertical="center"/>
    </xf>
    <xf numFmtId="9" fontId="5" fillId="5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68" fontId="14" fillId="5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0" xfId="0" applyFont="1" applyFill="1" applyAlignment="1">
      <alignment horizontal="right" vertical="center"/>
    </xf>
    <xf numFmtId="168" fontId="1" fillId="3" borderId="0" xfId="0" applyNumberFormat="1" applyFont="1" applyFill="1" applyAlignment="1">
      <alignment vertical="center"/>
    </xf>
    <xf numFmtId="166" fontId="1" fillId="3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168" fontId="1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8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3" fontId="0" fillId="3" borderId="1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8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167" fontId="6" fillId="2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164" fontId="0" fillId="3" borderId="0" xfId="0" applyNumberForma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10" fontId="6" fillId="3" borderId="0" xfId="1" applyNumberFormat="1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right" vertical="center"/>
    </xf>
    <xf numFmtId="10" fontId="10" fillId="3" borderId="0" xfId="1" applyNumberFormat="1" applyFont="1" applyFill="1" applyAlignment="1">
      <alignment horizontal="center" vertical="center"/>
    </xf>
    <xf numFmtId="10" fontId="11" fillId="3" borderId="0" xfId="1" applyNumberFormat="1" applyFont="1" applyFill="1" applyAlignment="1">
      <alignment horizontal="center" vertical="center"/>
    </xf>
    <xf numFmtId="164" fontId="0" fillId="3" borderId="0" xfId="0" applyNumberFormat="1" applyFill="1" applyAlignment="1">
      <alignment horizontal="left" vertical="center"/>
    </xf>
    <xf numFmtId="9" fontId="0" fillId="3" borderId="0" xfId="1" applyFont="1" applyFill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8" fontId="1" fillId="5" borderId="0" xfId="0" applyNumberFormat="1" applyFont="1" applyFill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169" fontId="24" fillId="2" borderId="1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70" fontId="0" fillId="2" borderId="1" xfId="2" applyNumberFormat="1" applyFont="1" applyFill="1" applyBorder="1" applyAlignment="1">
      <alignment vertical="center"/>
    </xf>
    <xf numFmtId="170" fontId="0" fillId="2" borderId="1" xfId="0" applyNumberFormat="1" applyFill="1" applyBorder="1" applyAlignment="1">
      <alignment vertical="center"/>
    </xf>
    <xf numFmtId="167" fontId="4" fillId="0" borderId="0" xfId="0" applyNumberFormat="1" applyFont="1" applyAlignment="1">
      <alignment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0" fontId="8" fillId="3" borderId="1" xfId="1" applyNumberFormat="1" applyFont="1" applyFill="1" applyBorder="1" applyAlignment="1">
      <alignment horizontal="center" vertical="center"/>
    </xf>
    <xf numFmtId="10" fontId="8" fillId="3" borderId="0" xfId="1" applyNumberFormat="1" applyFont="1" applyFill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9" fontId="6" fillId="2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69" fontId="6" fillId="2" borderId="0" xfId="0" applyNumberFormat="1" applyFont="1" applyFill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1" fillId="5" borderId="0" xfId="1" applyFont="1" applyFill="1" applyAlignment="1">
      <alignment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/>
  </sheetViews>
  <sheetFormatPr baseColWidth="10" defaultColWidth="8.77734375" defaultRowHeight="15" x14ac:dyDescent="0.2"/>
  <cols>
    <col min="1" max="1" width="3.33203125" style="4" customWidth="1"/>
    <col min="2" max="2" width="45.6640625" style="4" customWidth="1"/>
    <col min="3" max="16384" width="8.77734375" style="4"/>
  </cols>
  <sheetData>
    <row r="1" spans="1:4" ht="18" x14ac:dyDescent="0.2">
      <c r="A1" s="3" t="s">
        <v>0</v>
      </c>
    </row>
    <row r="3" spans="1:4" ht="15.75" x14ac:dyDescent="0.2">
      <c r="B3" s="5" t="s">
        <v>1</v>
      </c>
    </row>
    <row r="5" spans="1:4" ht="26.25" customHeight="1" x14ac:dyDescent="0.2">
      <c r="B5" s="23" t="s">
        <v>49</v>
      </c>
      <c r="C5" s="12">
        <v>2</v>
      </c>
      <c r="D5" s="12" t="s">
        <v>2</v>
      </c>
    </row>
    <row r="6" spans="1:4" ht="7.5" customHeight="1" x14ac:dyDescent="0.2"/>
    <row r="7" spans="1:4" ht="26.25" customHeight="1" x14ac:dyDescent="0.2">
      <c r="B7" s="24" t="s">
        <v>50</v>
      </c>
      <c r="C7" s="14">
        <v>60</v>
      </c>
      <c r="D7" s="13"/>
    </row>
    <row r="8" spans="1:4" ht="7.5" customHeight="1" x14ac:dyDescent="0.2"/>
    <row r="9" spans="1:4" ht="26.25" customHeight="1" x14ac:dyDescent="0.2">
      <c r="B9" s="17" t="s">
        <v>51</v>
      </c>
      <c r="C9" s="16">
        <v>40</v>
      </c>
      <c r="D9" s="15"/>
    </row>
    <row r="10" spans="1:4" ht="26.25" customHeight="1" x14ac:dyDescent="0.2">
      <c r="B10" s="17" t="s">
        <v>52</v>
      </c>
      <c r="C10" s="16">
        <v>130</v>
      </c>
      <c r="D10" s="15"/>
    </row>
    <row r="11" spans="1:4" ht="6" customHeight="1" x14ac:dyDescent="0.2">
      <c r="B11" s="6"/>
      <c r="C11" s="7"/>
    </row>
    <row r="12" spans="1:4" ht="26.25" customHeight="1" x14ac:dyDescent="0.2">
      <c r="B12" s="17" t="s">
        <v>60</v>
      </c>
      <c r="C12" s="18">
        <v>0.3</v>
      </c>
      <c r="D12" s="15"/>
    </row>
    <row r="13" spans="1:4" ht="6" customHeight="1" x14ac:dyDescent="0.2"/>
    <row r="14" spans="1:4" ht="26.25" customHeight="1" x14ac:dyDescent="0.2">
      <c r="B14" s="19" t="s">
        <v>48</v>
      </c>
      <c r="C14" s="20"/>
      <c r="D14" s="20"/>
    </row>
    <row r="15" spans="1:4" ht="26.25" customHeight="1" x14ac:dyDescent="0.2">
      <c r="B15" s="21" t="s">
        <v>53</v>
      </c>
      <c r="C15" s="25">
        <f>(1-$C$17)*($C$7+$C$9)</f>
        <v>30.000000000000004</v>
      </c>
      <c r="D15" s="20"/>
    </row>
    <row r="16" spans="1:4" ht="26.25" customHeight="1" x14ac:dyDescent="0.2">
      <c r="B16" s="21" t="s">
        <v>54</v>
      </c>
      <c r="C16" s="25">
        <f>$C$17*($C$7+$C$9)</f>
        <v>70</v>
      </c>
      <c r="D16" s="20"/>
    </row>
    <row r="17" spans="2:4" ht="26.25" customHeight="1" x14ac:dyDescent="0.2">
      <c r="B17" s="21" t="s">
        <v>55</v>
      </c>
      <c r="C17" s="22">
        <v>0.7</v>
      </c>
      <c r="D17" s="20"/>
    </row>
    <row r="18" spans="2:4" ht="6" customHeight="1" x14ac:dyDescent="0.2">
      <c r="C18" s="10"/>
    </row>
    <row r="19" spans="2:4" ht="26.25" customHeight="1" x14ac:dyDescent="0.2">
      <c r="B19" s="19" t="s">
        <v>47</v>
      </c>
      <c r="C19" s="20"/>
      <c r="D19" s="20"/>
    </row>
    <row r="20" spans="2:4" ht="26.25" customHeight="1" x14ac:dyDescent="0.2">
      <c r="B20" s="21" t="s">
        <v>53</v>
      </c>
      <c r="C20" s="88">
        <f>(1-$C$21)*($C$7+$C$9)</f>
        <v>100</v>
      </c>
      <c r="D20" s="20"/>
    </row>
    <row r="21" spans="2:4" ht="26.25" customHeight="1" x14ac:dyDescent="0.2">
      <c r="B21" s="21" t="s">
        <v>56</v>
      </c>
      <c r="C21" s="141">
        <v>0</v>
      </c>
      <c r="D21" s="20"/>
    </row>
    <row r="22" spans="2:4" ht="6" customHeight="1" x14ac:dyDescent="0.2"/>
    <row r="23" spans="2:4" ht="26.25" customHeight="1" x14ac:dyDescent="0.2">
      <c r="B23" s="21" t="s">
        <v>57</v>
      </c>
      <c r="C23" s="22">
        <v>0.1</v>
      </c>
      <c r="D23" s="20"/>
    </row>
    <row r="24" spans="2:4" ht="26.25" customHeight="1" x14ac:dyDescent="0.2">
      <c r="B24" s="21" t="s">
        <v>58</v>
      </c>
      <c r="C24" s="22">
        <v>0.15</v>
      </c>
      <c r="D24" s="20"/>
    </row>
    <row r="25" spans="2:4" ht="6" customHeight="1" x14ac:dyDescent="0.2">
      <c r="C25" s="9"/>
    </row>
    <row r="26" spans="2:4" ht="15.75" x14ac:dyDescent="0.2">
      <c r="B26" s="21" t="s">
        <v>59</v>
      </c>
      <c r="C26" s="22">
        <v>1</v>
      </c>
      <c r="D26" s="20"/>
    </row>
    <row r="27" spans="2:4" ht="15.75" x14ac:dyDescent="0.2">
      <c r="C27" s="9"/>
    </row>
  </sheetData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"/>
  <sheetViews>
    <sheetView workbookViewId="0"/>
  </sheetViews>
  <sheetFormatPr baseColWidth="10" defaultColWidth="8.77734375" defaultRowHeight="15" x14ac:dyDescent="0.2"/>
  <cols>
    <col min="1" max="1" width="3.33203125" style="4" customWidth="1"/>
    <col min="2" max="5" width="9.6640625" style="4" customWidth="1"/>
    <col min="6" max="6" width="10.109375" style="4" customWidth="1"/>
    <col min="7" max="9" width="8.77734375" style="4"/>
    <col min="10" max="10" width="2.77734375" style="4" customWidth="1"/>
    <col min="11" max="16384" width="8.77734375" style="4"/>
  </cols>
  <sheetData>
    <row r="1" spans="1:11" ht="18" x14ac:dyDescent="0.2">
      <c r="A1" s="3" t="s">
        <v>30</v>
      </c>
    </row>
    <row r="3" spans="1:11" ht="15.75" x14ac:dyDescent="0.2">
      <c r="A3" s="13"/>
      <c r="B3" s="26" t="s">
        <v>90</v>
      </c>
      <c r="C3" s="13"/>
      <c r="D3" s="13"/>
      <c r="E3" s="13"/>
      <c r="F3" s="13"/>
      <c r="G3" s="13"/>
      <c r="H3" s="13"/>
      <c r="I3" s="13"/>
      <c r="K3" s="2" t="s">
        <v>91</v>
      </c>
    </row>
    <row r="4" spans="1:11" ht="15.75" x14ac:dyDescent="0.2">
      <c r="A4" s="13"/>
      <c r="B4" s="26"/>
      <c r="C4" s="13"/>
      <c r="D4" s="13"/>
      <c r="E4" s="13"/>
      <c r="F4" s="13"/>
      <c r="G4" s="13"/>
      <c r="H4" s="13"/>
      <c r="I4" s="13"/>
    </row>
    <row r="5" spans="1:11" ht="22.5" customHeight="1" x14ac:dyDescent="0.2">
      <c r="A5" s="13"/>
      <c r="B5" s="121" t="s">
        <v>4</v>
      </c>
      <c r="C5" s="122"/>
      <c r="D5" s="121" t="s">
        <v>5</v>
      </c>
      <c r="E5" s="122"/>
      <c r="F5" s="75"/>
      <c r="G5" s="13"/>
      <c r="H5" s="13"/>
      <c r="I5" s="13"/>
    </row>
    <row r="6" spans="1:11" ht="22.5" customHeight="1" x14ac:dyDescent="0.2">
      <c r="A6" s="13"/>
      <c r="B6" s="43" t="s">
        <v>6</v>
      </c>
      <c r="C6" s="27">
        <f>Données!C7</f>
        <v>60</v>
      </c>
      <c r="D6" s="27">
        <f>Données!C15</f>
        <v>30.000000000000004</v>
      </c>
      <c r="E6" s="43" t="s">
        <v>7</v>
      </c>
      <c r="F6" s="75"/>
      <c r="G6" s="28" t="s">
        <v>12</v>
      </c>
      <c r="H6" s="29">
        <f>D6</f>
        <v>30.000000000000004</v>
      </c>
      <c r="I6" s="13"/>
    </row>
    <row r="7" spans="1:11" ht="22.5" customHeight="1" x14ac:dyDescent="0.2">
      <c r="A7" s="13"/>
      <c r="B7" s="43" t="s">
        <v>8</v>
      </c>
      <c r="C7" s="27">
        <f>Données!C9</f>
        <v>40</v>
      </c>
      <c r="D7" s="27">
        <f>Données!C16</f>
        <v>70</v>
      </c>
      <c r="E7" s="43" t="s">
        <v>61</v>
      </c>
      <c r="F7" s="75"/>
      <c r="G7" s="28" t="s">
        <v>32</v>
      </c>
      <c r="H7" s="29">
        <f>D7</f>
        <v>70</v>
      </c>
      <c r="I7" s="13"/>
    </row>
    <row r="8" spans="1:11" ht="22.5" customHeight="1" x14ac:dyDescent="0.2">
      <c r="A8" s="13"/>
      <c r="B8" s="43" t="s">
        <v>10</v>
      </c>
      <c r="C8" s="27">
        <f>D9-C6-C7</f>
        <v>0</v>
      </c>
      <c r="D8" s="27"/>
      <c r="E8" s="43"/>
      <c r="F8" s="75"/>
      <c r="G8" s="28"/>
      <c r="H8" s="30"/>
      <c r="I8" s="13"/>
    </row>
    <row r="9" spans="1:11" ht="22.5" customHeight="1" x14ac:dyDescent="0.2">
      <c r="A9" s="13"/>
      <c r="B9" s="44" t="s">
        <v>11</v>
      </c>
      <c r="C9" s="31">
        <f>C6+C7</f>
        <v>100</v>
      </c>
      <c r="D9" s="31">
        <f>D6+D7</f>
        <v>100</v>
      </c>
      <c r="E9" s="44" t="s">
        <v>11</v>
      </c>
      <c r="F9" s="76"/>
      <c r="G9" s="13"/>
      <c r="H9" s="13"/>
      <c r="I9" s="13"/>
    </row>
    <row r="10" spans="1:11" x14ac:dyDescent="0.2">
      <c r="A10" s="13"/>
      <c r="B10" s="32"/>
      <c r="C10" s="32"/>
      <c r="D10" s="32"/>
      <c r="E10" s="32"/>
      <c r="F10" s="32"/>
      <c r="G10" s="13"/>
      <c r="H10" s="13"/>
      <c r="I10" s="13"/>
    </row>
    <row r="12" spans="1:11" ht="18.75" x14ac:dyDescent="0.2">
      <c r="A12" s="11"/>
      <c r="B12" s="33" t="s">
        <v>85</v>
      </c>
      <c r="C12" s="11"/>
      <c r="D12" s="11"/>
      <c r="E12" s="11"/>
      <c r="F12" s="11"/>
      <c r="G12" s="11"/>
      <c r="H12" s="11"/>
      <c r="I12" s="11"/>
    </row>
    <row r="13" spans="1:11" ht="15.75" x14ac:dyDescent="0.2">
      <c r="A13" s="11"/>
      <c r="B13" s="33"/>
      <c r="C13" s="11"/>
      <c r="D13" s="11"/>
      <c r="E13" s="11"/>
      <c r="F13" s="11"/>
      <c r="G13" s="11"/>
      <c r="H13" s="11"/>
      <c r="I13" s="11"/>
    </row>
    <row r="14" spans="1:11" ht="22.5" customHeight="1" x14ac:dyDescent="0.2">
      <c r="A14" s="11"/>
      <c r="B14" s="123" t="s">
        <v>13</v>
      </c>
      <c r="C14" s="124"/>
      <c r="D14" s="123" t="s">
        <v>14</v>
      </c>
      <c r="E14" s="124"/>
      <c r="F14" s="77"/>
      <c r="G14" s="11"/>
      <c r="H14" s="11"/>
      <c r="I14" s="11"/>
    </row>
    <row r="15" spans="1:11" ht="22.5" customHeight="1" x14ac:dyDescent="0.2">
      <c r="A15" s="11"/>
      <c r="B15" s="45" t="s">
        <v>15</v>
      </c>
      <c r="C15" s="34">
        <f>Données!$C$9</f>
        <v>40</v>
      </c>
      <c r="D15" s="34">
        <f>Données!$C$10</f>
        <v>130</v>
      </c>
      <c r="E15" s="45" t="s">
        <v>16</v>
      </c>
      <c r="F15" s="77"/>
      <c r="G15" s="11"/>
      <c r="H15" s="11"/>
      <c r="I15" s="11"/>
      <c r="K15" s="6" t="s">
        <v>62</v>
      </c>
    </row>
    <row r="16" spans="1:11" ht="22.5" customHeight="1" x14ac:dyDescent="0.2">
      <c r="A16" s="11"/>
      <c r="B16" s="45" t="s">
        <v>17</v>
      </c>
      <c r="C16" s="34">
        <f>Données!$C$7/Données!$C$5</f>
        <v>30</v>
      </c>
      <c r="D16" s="34"/>
      <c r="E16" s="45"/>
      <c r="F16" s="77"/>
      <c r="G16" s="11"/>
      <c r="H16" s="11"/>
      <c r="I16" s="11"/>
    </row>
    <row r="17" spans="1:14" ht="22.5" customHeight="1" x14ac:dyDescent="0.2">
      <c r="A17" s="11"/>
      <c r="B17" s="45" t="s">
        <v>33</v>
      </c>
      <c r="C17" s="34">
        <f>Données!C23*Données!C16</f>
        <v>7</v>
      </c>
      <c r="D17" s="34"/>
      <c r="E17" s="45"/>
      <c r="F17" s="77"/>
      <c r="G17" s="35" t="s">
        <v>34</v>
      </c>
      <c r="H17" s="36">
        <f>C17</f>
        <v>7</v>
      </c>
      <c r="I17" s="11"/>
    </row>
    <row r="18" spans="1:14" ht="22.5" customHeight="1" x14ac:dyDescent="0.2">
      <c r="A18" s="11"/>
      <c r="B18" s="45" t="s">
        <v>18</v>
      </c>
      <c r="C18" s="89">
        <f>Données!C12*N18</f>
        <v>15.899999999999999</v>
      </c>
      <c r="D18" s="34"/>
      <c r="E18" s="45"/>
      <c r="F18" s="77"/>
      <c r="G18" s="11"/>
      <c r="H18" s="11"/>
      <c r="I18" s="11"/>
      <c r="K18" s="11" t="s">
        <v>63</v>
      </c>
      <c r="L18" s="11"/>
      <c r="M18" s="11"/>
      <c r="N18" s="11">
        <f>'Comptabilité (FP et D)'!D15-SUM('Comptabilité (FP et D)'!C15:C17)</f>
        <v>53</v>
      </c>
    </row>
    <row r="19" spans="1:14" ht="22.5" customHeight="1" x14ac:dyDescent="0.2">
      <c r="A19" s="11"/>
      <c r="B19" s="45" t="s">
        <v>19</v>
      </c>
      <c r="C19" s="89">
        <f>D15-SUM(C15:C18)</f>
        <v>37.099999999999994</v>
      </c>
      <c r="D19" s="34"/>
      <c r="E19" s="45"/>
      <c r="F19" s="77"/>
      <c r="G19" s="11"/>
      <c r="H19" s="11"/>
      <c r="I19" s="11"/>
    </row>
    <row r="20" spans="1:14" ht="22.5" customHeight="1" x14ac:dyDescent="0.2">
      <c r="A20" s="11"/>
      <c r="B20" s="46" t="s">
        <v>11</v>
      </c>
      <c r="C20" s="37">
        <f>SUM(C15:C19)</f>
        <v>130</v>
      </c>
      <c r="D20" s="37">
        <f>SUM(D15:D19)</f>
        <v>130</v>
      </c>
      <c r="E20" s="46" t="s">
        <v>11</v>
      </c>
      <c r="F20" s="78"/>
      <c r="G20" s="11"/>
      <c r="H20" s="11"/>
      <c r="I20" s="11"/>
    </row>
    <row r="21" spans="1:14" x14ac:dyDescent="0.2">
      <c r="A21" s="11"/>
      <c r="B21" s="38"/>
      <c r="C21" s="38"/>
      <c r="D21" s="38"/>
      <c r="E21" s="38"/>
      <c r="F21" s="38"/>
      <c r="G21" s="11"/>
      <c r="H21" s="11"/>
      <c r="I21" s="11"/>
    </row>
    <row r="23" spans="1:14" ht="18.75" x14ac:dyDescent="0.2">
      <c r="A23" s="13"/>
      <c r="B23" s="26" t="s">
        <v>86</v>
      </c>
      <c r="C23" s="13"/>
      <c r="D23" s="13"/>
      <c r="E23" s="13"/>
      <c r="F23" s="13"/>
      <c r="G23" s="13"/>
      <c r="H23" s="13"/>
      <c r="I23" s="13"/>
      <c r="K23" s="6" t="s">
        <v>64</v>
      </c>
    </row>
    <row r="24" spans="1:14" ht="15.75" x14ac:dyDescent="0.2">
      <c r="A24" s="13"/>
      <c r="B24" s="26"/>
      <c r="C24" s="13"/>
      <c r="D24" s="13"/>
      <c r="E24" s="13"/>
      <c r="F24" s="13"/>
      <c r="G24" s="13"/>
      <c r="H24" s="13"/>
      <c r="I24" s="13"/>
    </row>
    <row r="25" spans="1:14" ht="22.5" customHeight="1" x14ac:dyDescent="0.2">
      <c r="A25" s="13"/>
      <c r="B25" s="121" t="s">
        <v>4</v>
      </c>
      <c r="C25" s="122"/>
      <c r="D25" s="121" t="s">
        <v>5</v>
      </c>
      <c r="E25" s="122"/>
      <c r="F25" s="75"/>
      <c r="G25" s="13"/>
      <c r="H25" s="13"/>
      <c r="I25" s="13"/>
    </row>
    <row r="26" spans="1:14" ht="22.5" customHeight="1" x14ac:dyDescent="0.2">
      <c r="A26" s="13"/>
      <c r="B26" s="43" t="s">
        <v>6</v>
      </c>
      <c r="C26" s="27">
        <f>Données!C7-'Comptabilité (FP et D)'!C16</f>
        <v>30</v>
      </c>
      <c r="D26" s="27">
        <f>Données!C15</f>
        <v>30.000000000000004</v>
      </c>
      <c r="E26" s="43" t="s">
        <v>7</v>
      </c>
      <c r="F26" s="75"/>
      <c r="G26" s="28" t="s">
        <v>12</v>
      </c>
      <c r="H26" s="39">
        <f>D26-D6</f>
        <v>0</v>
      </c>
      <c r="I26" s="13"/>
    </row>
    <row r="27" spans="1:14" ht="22.5" customHeight="1" x14ac:dyDescent="0.2">
      <c r="A27" s="13"/>
      <c r="B27" s="43" t="s">
        <v>8</v>
      </c>
      <c r="C27" s="27">
        <f>Données!C37</f>
        <v>0</v>
      </c>
      <c r="D27" s="27">
        <f>(1-Données!C26)*C19</f>
        <v>0</v>
      </c>
      <c r="E27" s="43" t="s">
        <v>20</v>
      </c>
      <c r="F27" s="75"/>
      <c r="G27" s="40" t="s">
        <v>68</v>
      </c>
      <c r="H27" s="39">
        <f>Données!$C$26*C19</f>
        <v>37.099999999999994</v>
      </c>
      <c r="I27" s="13"/>
    </row>
    <row r="28" spans="1:14" ht="22.5" customHeight="1" x14ac:dyDescent="0.2">
      <c r="A28" s="13"/>
      <c r="B28" s="43" t="s">
        <v>10</v>
      </c>
      <c r="C28" s="41">
        <f>C8+D15-C17-C18-Données!C26*C19</f>
        <v>70</v>
      </c>
      <c r="D28" s="27">
        <f>Données!C16</f>
        <v>70</v>
      </c>
      <c r="E28" s="43" t="s">
        <v>31</v>
      </c>
      <c r="F28" s="75"/>
      <c r="G28" s="28" t="s">
        <v>32</v>
      </c>
      <c r="H28" s="39">
        <f>D28-D7</f>
        <v>0</v>
      </c>
      <c r="I28" s="13"/>
    </row>
    <row r="29" spans="1:14" ht="22.5" customHeight="1" x14ac:dyDescent="0.2">
      <c r="A29" s="13"/>
      <c r="B29" s="44" t="s">
        <v>11</v>
      </c>
      <c r="C29" s="31">
        <f>SUM(C26:C28)</f>
        <v>100</v>
      </c>
      <c r="D29" s="31">
        <f>SUM(D26:D28)</f>
        <v>100</v>
      </c>
      <c r="E29" s="44" t="s">
        <v>11</v>
      </c>
      <c r="F29" s="76"/>
      <c r="G29" s="13"/>
      <c r="H29" s="13"/>
      <c r="I29" s="13"/>
    </row>
    <row r="30" spans="1:14" x14ac:dyDescent="0.2">
      <c r="A30" s="13"/>
      <c r="B30" s="32"/>
      <c r="C30" s="32"/>
      <c r="D30" s="32"/>
      <c r="E30" s="32"/>
      <c r="F30" s="32"/>
      <c r="G30" s="13"/>
      <c r="H30" s="13"/>
      <c r="I30" s="13"/>
    </row>
    <row r="32" spans="1:14" ht="18.75" x14ac:dyDescent="0.2">
      <c r="A32" s="11"/>
      <c r="B32" s="33" t="s">
        <v>87</v>
      </c>
      <c r="C32" s="11"/>
      <c r="D32" s="11"/>
      <c r="E32" s="11"/>
      <c r="F32" s="11"/>
      <c r="G32" s="11"/>
      <c r="H32" s="11"/>
      <c r="I32" s="11"/>
    </row>
    <row r="33" spans="1:14" ht="15.75" x14ac:dyDescent="0.2">
      <c r="A33" s="11"/>
      <c r="B33" s="33"/>
      <c r="C33" s="11"/>
      <c r="D33" s="11"/>
      <c r="E33" s="11"/>
      <c r="F33" s="11"/>
      <c r="G33" s="11"/>
      <c r="H33" s="11"/>
      <c r="I33" s="11"/>
    </row>
    <row r="34" spans="1:14" ht="22.5" customHeight="1" x14ac:dyDescent="0.2">
      <c r="A34" s="11"/>
      <c r="B34" s="123" t="s">
        <v>13</v>
      </c>
      <c r="C34" s="124"/>
      <c r="D34" s="123" t="s">
        <v>14</v>
      </c>
      <c r="E34" s="124"/>
      <c r="F34" s="77"/>
      <c r="G34" s="11"/>
      <c r="H34" s="11"/>
      <c r="I34" s="11"/>
    </row>
    <row r="35" spans="1:14" ht="22.5" customHeight="1" x14ac:dyDescent="0.2">
      <c r="A35" s="11"/>
      <c r="B35" s="45" t="s">
        <v>15</v>
      </c>
      <c r="C35" s="34">
        <f>Données!$C$9</f>
        <v>40</v>
      </c>
      <c r="D35" s="34">
        <f>Données!$C$10</f>
        <v>130</v>
      </c>
      <c r="E35" s="45" t="s">
        <v>16</v>
      </c>
      <c r="F35" s="77"/>
      <c r="G35" s="11"/>
      <c r="H35" s="11"/>
      <c r="I35" s="11"/>
      <c r="K35" s="6" t="s">
        <v>65</v>
      </c>
    </row>
    <row r="36" spans="1:14" ht="22.5" customHeight="1" x14ac:dyDescent="0.2">
      <c r="A36" s="11"/>
      <c r="B36" s="45" t="s">
        <v>17</v>
      </c>
      <c r="C36" s="34">
        <f>Données!$C$7/Données!$C$5</f>
        <v>30</v>
      </c>
      <c r="D36" s="34"/>
      <c r="E36" s="45"/>
      <c r="F36" s="77"/>
      <c r="G36" s="11"/>
      <c r="H36" s="11"/>
      <c r="I36" s="11"/>
    </row>
    <row r="37" spans="1:14" ht="22.5" customHeight="1" x14ac:dyDescent="0.2">
      <c r="A37" s="11"/>
      <c r="B37" s="45" t="s">
        <v>33</v>
      </c>
      <c r="C37" s="34">
        <f>Données!C16*Données!$C$23</f>
        <v>7</v>
      </c>
      <c r="D37" s="34"/>
      <c r="E37" s="45"/>
      <c r="F37" s="77"/>
      <c r="G37" s="35" t="s">
        <v>34</v>
      </c>
      <c r="H37" s="36">
        <f>C37</f>
        <v>7</v>
      </c>
      <c r="I37" s="11"/>
    </row>
    <row r="38" spans="1:14" ht="22.5" customHeight="1" x14ac:dyDescent="0.2">
      <c r="A38" s="11"/>
      <c r="B38" s="45" t="s">
        <v>18</v>
      </c>
      <c r="C38" s="104">
        <f>Données!C12*N38</f>
        <v>15.899999999999999</v>
      </c>
      <c r="D38" s="34"/>
      <c r="E38" s="45"/>
      <c r="F38" s="77"/>
      <c r="G38" s="11"/>
      <c r="H38" s="11"/>
      <c r="I38" s="11"/>
      <c r="K38" s="11" t="s">
        <v>63</v>
      </c>
      <c r="L38" s="11"/>
      <c r="M38" s="11"/>
      <c r="N38" s="11">
        <f>'Comptabilité (FP et D)'!D15-SUM('Comptabilité (FP et D)'!C15:C17)</f>
        <v>53</v>
      </c>
    </row>
    <row r="39" spans="1:14" ht="22.5" customHeight="1" x14ac:dyDescent="0.2">
      <c r="A39" s="11"/>
      <c r="B39" s="45" t="s">
        <v>19</v>
      </c>
      <c r="C39" s="105">
        <f>D35-SUM(C35:C38)</f>
        <v>37.099999999999994</v>
      </c>
      <c r="D39" s="34"/>
      <c r="E39" s="45"/>
      <c r="F39" s="77"/>
      <c r="G39" s="11"/>
      <c r="H39" s="11"/>
      <c r="I39" s="11"/>
    </row>
    <row r="40" spans="1:14" ht="22.5" customHeight="1" x14ac:dyDescent="0.2">
      <c r="A40" s="11"/>
      <c r="B40" s="46" t="s">
        <v>11</v>
      </c>
      <c r="C40" s="37">
        <f>SUM(C35:C39)</f>
        <v>130</v>
      </c>
      <c r="D40" s="37">
        <f>SUM(D35:D39)</f>
        <v>130</v>
      </c>
      <c r="E40" s="46" t="s">
        <v>11</v>
      </c>
      <c r="F40" s="78"/>
      <c r="G40" s="11"/>
      <c r="H40" s="11"/>
      <c r="I40" s="11"/>
    </row>
    <row r="41" spans="1:14" x14ac:dyDescent="0.2">
      <c r="A41" s="11"/>
      <c r="B41" s="38"/>
      <c r="C41" s="38"/>
      <c r="D41" s="38"/>
      <c r="E41" s="38"/>
      <c r="F41" s="38"/>
      <c r="G41" s="11"/>
      <c r="H41" s="11"/>
      <c r="I41" s="11"/>
    </row>
    <row r="43" spans="1:14" ht="18.75" x14ac:dyDescent="0.2">
      <c r="A43" s="13"/>
      <c r="B43" s="26" t="s">
        <v>88</v>
      </c>
      <c r="C43" s="13"/>
      <c r="D43" s="13"/>
      <c r="E43" s="13"/>
      <c r="F43" s="13"/>
      <c r="G43" s="13"/>
      <c r="H43" s="13"/>
      <c r="I43" s="13"/>
      <c r="K43" s="6" t="s">
        <v>66</v>
      </c>
    </row>
    <row r="44" spans="1:14" ht="15.75" x14ac:dyDescent="0.2">
      <c r="A44" s="13"/>
      <c r="B44" s="26"/>
      <c r="C44" s="13"/>
      <c r="D44" s="13"/>
      <c r="E44" s="13"/>
      <c r="F44" s="13"/>
      <c r="G44" s="13"/>
      <c r="H44" s="13"/>
      <c r="I44" s="13"/>
    </row>
    <row r="45" spans="1:14" ht="22.5" customHeight="1" x14ac:dyDescent="0.2">
      <c r="A45" s="13"/>
      <c r="B45" s="121" t="s">
        <v>4</v>
      </c>
      <c r="C45" s="122"/>
      <c r="D45" s="121" t="s">
        <v>5</v>
      </c>
      <c r="E45" s="122"/>
      <c r="F45" s="75"/>
      <c r="G45" s="13"/>
      <c r="H45" s="13"/>
      <c r="I45" s="13"/>
    </row>
    <row r="46" spans="1:14" ht="22.5" customHeight="1" x14ac:dyDescent="0.2">
      <c r="A46" s="13"/>
      <c r="B46" s="43" t="s">
        <v>6</v>
      </c>
      <c r="C46" s="27">
        <v>0</v>
      </c>
      <c r="D46" s="27">
        <f>D26</f>
        <v>30.000000000000004</v>
      </c>
      <c r="E46" s="43" t="s">
        <v>7</v>
      </c>
      <c r="F46" s="75"/>
      <c r="G46" s="28" t="s">
        <v>9</v>
      </c>
      <c r="H46" s="47" t="s">
        <v>9</v>
      </c>
      <c r="I46" s="13"/>
    </row>
    <row r="47" spans="1:14" ht="22.5" customHeight="1" x14ac:dyDescent="0.2">
      <c r="A47" s="13"/>
      <c r="B47" s="43" t="s">
        <v>8</v>
      </c>
      <c r="C47" s="27">
        <f>Données!C49</f>
        <v>0</v>
      </c>
      <c r="D47" s="42">
        <f>D27+(1-Données!C26)*'Comptabilité (FP et D)'!C39</f>
        <v>0</v>
      </c>
      <c r="E47" s="43" t="s">
        <v>20</v>
      </c>
      <c r="F47" s="75"/>
      <c r="G47" s="40" t="s">
        <v>68</v>
      </c>
      <c r="H47" s="29">
        <f>Données!C26*C39</f>
        <v>37.099999999999994</v>
      </c>
      <c r="I47" s="13"/>
    </row>
    <row r="48" spans="1:14" ht="22.5" customHeight="1" x14ac:dyDescent="0.2">
      <c r="A48" s="13"/>
      <c r="B48" s="43" t="s">
        <v>10</v>
      </c>
      <c r="C48" s="41">
        <f>C28+D35-C35-C37-C38-Données!C26*C39-D28</f>
        <v>30</v>
      </c>
      <c r="D48" s="27">
        <v>0</v>
      </c>
      <c r="E48" s="43" t="s">
        <v>31</v>
      </c>
      <c r="F48" s="75"/>
      <c r="G48" s="28" t="s">
        <v>32</v>
      </c>
      <c r="H48" s="29">
        <f>D57-D28</f>
        <v>-70</v>
      </c>
      <c r="I48" s="13"/>
    </row>
    <row r="49" spans="1:9" ht="22.5" customHeight="1" x14ac:dyDescent="0.2">
      <c r="A49" s="13"/>
      <c r="B49" s="44" t="s">
        <v>11</v>
      </c>
      <c r="C49" s="31">
        <f>SUM(C46:C48)</f>
        <v>30</v>
      </c>
      <c r="D49" s="31">
        <f>SUM(D46:D48)</f>
        <v>30.000000000000004</v>
      </c>
      <c r="E49" s="44" t="s">
        <v>11</v>
      </c>
      <c r="F49" s="76"/>
      <c r="G49" s="13"/>
      <c r="H49" s="13"/>
      <c r="I49" s="13"/>
    </row>
    <row r="50" spans="1:9" x14ac:dyDescent="0.2">
      <c r="A50" s="13"/>
      <c r="B50" s="32"/>
      <c r="C50" s="32"/>
      <c r="D50" s="32"/>
      <c r="E50" s="32"/>
      <c r="F50" s="32"/>
      <c r="G50" s="13"/>
      <c r="H50" s="13"/>
      <c r="I50" s="13"/>
    </row>
    <row r="52" spans="1:9" ht="18.75" x14ac:dyDescent="0.2">
      <c r="A52" s="13"/>
      <c r="B52" s="26" t="s">
        <v>89</v>
      </c>
      <c r="C52" s="13"/>
      <c r="D52" s="13"/>
      <c r="E52" s="13"/>
      <c r="F52" s="13"/>
      <c r="G52" s="13"/>
      <c r="H52" s="13"/>
      <c r="I52" s="13"/>
    </row>
    <row r="53" spans="1:9" ht="15.75" x14ac:dyDescent="0.2">
      <c r="A53" s="13"/>
      <c r="B53" s="26"/>
      <c r="C53" s="13"/>
      <c r="D53" s="13"/>
      <c r="E53" s="13"/>
      <c r="F53" s="13"/>
      <c r="G53" s="13"/>
      <c r="H53" s="13"/>
      <c r="I53" s="13"/>
    </row>
    <row r="54" spans="1:9" ht="22.5" customHeight="1" x14ac:dyDescent="0.2">
      <c r="A54" s="13"/>
      <c r="B54" s="121" t="s">
        <v>4</v>
      </c>
      <c r="C54" s="122"/>
      <c r="D54" s="121" t="s">
        <v>5</v>
      </c>
      <c r="E54" s="122"/>
      <c r="F54" s="75"/>
      <c r="G54" s="13"/>
      <c r="H54" s="13"/>
      <c r="I54" s="13"/>
    </row>
    <row r="55" spans="1:9" ht="22.5" customHeight="1" x14ac:dyDescent="0.2">
      <c r="A55" s="13"/>
      <c r="B55" s="43" t="s">
        <v>6</v>
      </c>
      <c r="C55" s="27">
        <v>0</v>
      </c>
      <c r="D55" s="27">
        <v>0</v>
      </c>
      <c r="E55" s="43" t="s">
        <v>7</v>
      </c>
      <c r="F55" s="75"/>
      <c r="G55" s="28" t="s">
        <v>12</v>
      </c>
      <c r="H55" s="29">
        <f>(D55-D46)+(D56-D47)</f>
        <v>-30.000000000000004</v>
      </c>
      <c r="I55" s="13"/>
    </row>
    <row r="56" spans="1:9" ht="22.5" customHeight="1" x14ac:dyDescent="0.2">
      <c r="A56" s="13"/>
      <c r="B56" s="43" t="s">
        <v>8</v>
      </c>
      <c r="C56" s="27">
        <v>0</v>
      </c>
      <c r="D56" s="27">
        <v>0</v>
      </c>
      <c r="E56" s="43" t="s">
        <v>20</v>
      </c>
      <c r="F56" s="75"/>
      <c r="G56" s="48" t="s">
        <v>9</v>
      </c>
      <c r="H56" s="47" t="s">
        <v>9</v>
      </c>
      <c r="I56" s="13"/>
    </row>
    <row r="57" spans="1:9" ht="22.5" customHeight="1" x14ac:dyDescent="0.2">
      <c r="A57" s="13"/>
      <c r="B57" s="43" t="s">
        <v>10</v>
      </c>
      <c r="C57" s="27">
        <v>0</v>
      </c>
      <c r="D57" s="27">
        <v>0</v>
      </c>
      <c r="E57" s="43" t="s">
        <v>31</v>
      </c>
      <c r="F57" s="75"/>
      <c r="G57" s="13"/>
      <c r="H57" s="30"/>
      <c r="I57" s="13"/>
    </row>
    <row r="58" spans="1:9" ht="22.5" customHeight="1" x14ac:dyDescent="0.2">
      <c r="A58" s="13"/>
      <c r="B58" s="44" t="s">
        <v>11</v>
      </c>
      <c r="C58" s="31">
        <f>SUM(C55:C57)</f>
        <v>0</v>
      </c>
      <c r="D58" s="31">
        <f>SUM(D55:D57)</f>
        <v>0</v>
      </c>
      <c r="E58" s="44" t="s">
        <v>11</v>
      </c>
      <c r="F58" s="76"/>
      <c r="G58" s="13"/>
      <c r="H58" s="13"/>
      <c r="I58" s="13"/>
    </row>
    <row r="59" spans="1:9" x14ac:dyDescent="0.2">
      <c r="A59" s="13"/>
      <c r="B59" s="13"/>
      <c r="C59" s="13"/>
      <c r="D59" s="13"/>
      <c r="E59" s="13"/>
      <c r="F59" s="13"/>
      <c r="G59" s="13"/>
      <c r="H59" s="13"/>
      <c r="I59" s="13"/>
    </row>
  </sheetData>
  <mergeCells count="12">
    <mergeCell ref="B34:C34"/>
    <mergeCell ref="D34:E34"/>
    <mergeCell ref="B45:C45"/>
    <mergeCell ref="D45:E45"/>
    <mergeCell ref="B54:C54"/>
    <mergeCell ref="D54:E54"/>
    <mergeCell ref="B5:C5"/>
    <mergeCell ref="D5:E5"/>
    <mergeCell ref="B14:C14"/>
    <mergeCell ref="D14:E14"/>
    <mergeCell ref="B25:C25"/>
    <mergeCell ref="D25:E25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zoomScaleNormal="100" workbookViewId="0"/>
  </sheetViews>
  <sheetFormatPr baseColWidth="10" defaultColWidth="8.77734375" defaultRowHeight="15" x14ac:dyDescent="0.2"/>
  <cols>
    <col min="1" max="1" width="3.33203125" style="4" customWidth="1"/>
    <col min="2" max="2" width="8.77734375" style="4" customWidth="1"/>
    <col min="3" max="3" width="13.33203125" style="4" customWidth="1"/>
    <col min="4" max="4" width="14.77734375" style="4" customWidth="1"/>
    <col min="5" max="5" width="12.88671875" style="4" customWidth="1"/>
    <col min="6" max="6" width="10.21875" style="4" customWidth="1"/>
    <col min="7" max="7" width="10.6640625" style="4" customWidth="1"/>
    <col min="8" max="8" width="2.77734375" style="4" customWidth="1"/>
    <col min="9" max="9" width="10.5546875" style="4" customWidth="1"/>
    <col min="10" max="16384" width="8.77734375" style="4"/>
  </cols>
  <sheetData>
    <row r="1" spans="1:9" ht="18" x14ac:dyDescent="0.2">
      <c r="A1" s="3" t="s">
        <v>99</v>
      </c>
    </row>
    <row r="3" spans="1:9" ht="15.75" x14ac:dyDescent="0.2">
      <c r="A3" s="11"/>
      <c r="B3" s="56" t="s">
        <v>22</v>
      </c>
      <c r="C3" s="11"/>
      <c r="D3" s="11"/>
      <c r="E3" s="11"/>
      <c r="F3" s="11"/>
      <c r="G3" s="11"/>
      <c r="H3" s="11"/>
      <c r="I3" s="11"/>
    </row>
    <row r="4" spans="1:9" ht="6" customHeight="1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9" ht="22.5" customHeight="1" x14ac:dyDescent="0.2">
      <c r="A5" s="11"/>
      <c r="B5" s="93" t="s">
        <v>23</v>
      </c>
      <c r="C5" s="95" t="s">
        <v>35</v>
      </c>
      <c r="D5" s="91" t="s">
        <v>24</v>
      </c>
      <c r="E5" s="93" t="s">
        <v>36</v>
      </c>
      <c r="F5" s="91" t="s">
        <v>37</v>
      </c>
      <c r="G5" s="90" t="s">
        <v>25</v>
      </c>
      <c r="H5" s="11"/>
      <c r="I5" s="90" t="s">
        <v>46</v>
      </c>
    </row>
    <row r="6" spans="1:9" ht="22.5" customHeight="1" x14ac:dyDescent="0.2">
      <c r="A6" s="11"/>
      <c r="B6" s="94">
        <v>0</v>
      </c>
      <c r="C6" s="96">
        <f>-Données!$C$7-Données!$C$9</f>
        <v>-100</v>
      </c>
      <c r="D6" s="92">
        <f>-Données!$C$7-Données!$C$9</f>
        <v>-100</v>
      </c>
      <c r="E6" s="97">
        <v>0</v>
      </c>
      <c r="F6" s="92">
        <f>-'Comptabilité (FP et D)'!H7</f>
        <v>-70</v>
      </c>
      <c r="G6" s="80">
        <f>-'Comptabilité (FP et D)'!H6</f>
        <v>-30.000000000000004</v>
      </c>
      <c r="H6" s="11"/>
      <c r="I6" s="45">
        <f>D6+E6-F6-G6</f>
        <v>0</v>
      </c>
    </row>
    <row r="7" spans="1:9" ht="22.5" customHeight="1" x14ac:dyDescent="0.2">
      <c r="A7" s="11"/>
      <c r="B7" s="94">
        <v>1</v>
      </c>
      <c r="C7" s="96">
        <f>'Comptabilité (FP et D)'!D15-'Comptabilité (FP et D)'!C18-('Comptabilité (FP et D)'!C28-0)</f>
        <v>44.099999999999994</v>
      </c>
      <c r="D7" s="92">
        <f>C7-E7</f>
        <v>41.999999999999993</v>
      </c>
      <c r="E7" s="107">
        <f>'Comptabilité (FP)'!C17-'Comptabilité (FP et D)'!C18</f>
        <v>2.1000000000000014</v>
      </c>
      <c r="F7" s="92">
        <f>'Comptabilité (FP et D)'!H17</f>
        <v>7</v>
      </c>
      <c r="G7" s="108">
        <f>'Comptabilité (FP et D)'!H27</f>
        <v>37.099999999999994</v>
      </c>
      <c r="H7" s="11"/>
      <c r="I7" s="45">
        <f>D7+E7-F7-G7</f>
        <v>0</v>
      </c>
    </row>
    <row r="8" spans="1:9" ht="22.5" customHeight="1" x14ac:dyDescent="0.2">
      <c r="A8" s="11"/>
      <c r="B8" s="94">
        <v>2</v>
      </c>
      <c r="C8" s="96">
        <f>'Comptabilité (FP et D)'!D35-'Comptabilité (FP et D)'!C35-'Comptabilité (FP et D)'!C38-(0-'Comptabilité (FP et D)'!C28)</f>
        <v>144.1</v>
      </c>
      <c r="D8" s="92">
        <f>C8-E8</f>
        <v>142</v>
      </c>
      <c r="E8" s="107">
        <f>'Comptabilité (FP)'!C36-'Comptabilité (FP et D)'!C38</f>
        <v>2.1000000000000014</v>
      </c>
      <c r="F8" s="92">
        <f>'Comptabilité (FP et D)'!H37-'Comptabilité (FP et D)'!H48</f>
        <v>77</v>
      </c>
      <c r="G8" s="108">
        <f>'Comptabilité (FP et D)'!H47-'Comptabilité (FP et D)'!H55</f>
        <v>67.099999999999994</v>
      </c>
      <c r="H8" s="11"/>
      <c r="I8" s="45">
        <f>D8+E8-F8-G8</f>
        <v>0</v>
      </c>
    </row>
    <row r="9" spans="1:9" x14ac:dyDescent="0.2">
      <c r="A9" s="11"/>
      <c r="B9" s="57"/>
      <c r="C9" s="58"/>
      <c r="D9" s="58"/>
      <c r="E9" s="58"/>
      <c r="F9" s="58"/>
      <c r="G9" s="58"/>
      <c r="H9" s="11"/>
      <c r="I9" s="57"/>
    </row>
    <row r="10" spans="1:9" x14ac:dyDescent="0.2">
      <c r="B10" s="49"/>
      <c r="C10" s="50"/>
      <c r="D10" s="51"/>
      <c r="E10" s="51"/>
      <c r="F10" s="51"/>
      <c r="G10" s="51"/>
    </row>
    <row r="11" spans="1:9" ht="15" customHeight="1" x14ac:dyDescent="0.2">
      <c r="A11" s="13"/>
      <c r="B11" s="62" t="s">
        <v>26</v>
      </c>
      <c r="C11" s="63"/>
      <c r="D11" s="63"/>
      <c r="E11" s="63"/>
      <c r="F11" s="63"/>
      <c r="G11" s="13"/>
      <c r="H11" s="13"/>
    </row>
    <row r="12" spans="1:9" ht="8.25" customHeight="1" x14ac:dyDescent="0.2">
      <c r="A12" s="13"/>
      <c r="B12" s="64"/>
      <c r="C12" s="63"/>
      <c r="D12" s="63"/>
      <c r="E12" s="63"/>
      <c r="F12" s="63"/>
      <c r="G12" s="13"/>
      <c r="H12" s="13"/>
    </row>
    <row r="13" spans="1:9" ht="22.5" customHeight="1" x14ac:dyDescent="0.2">
      <c r="A13" s="13"/>
      <c r="B13" s="130" t="s">
        <v>79</v>
      </c>
      <c r="C13" s="131"/>
      <c r="D13" s="132"/>
      <c r="E13" s="81">
        <f>Données!$C$16/(Données!$C$16+Données!$C$15)*Données!$C$23+Données!$C$15/(Données!$C$15+Données!$C$16)*Données!$C$24</f>
        <v>0.11499999999999999</v>
      </c>
      <c r="F13" s="67" t="s">
        <v>38</v>
      </c>
      <c r="G13" s="68">
        <f>Données!$C$16/(Données!$C$16+Données!$C$15)</f>
        <v>0.7</v>
      </c>
      <c r="H13" s="13"/>
    </row>
    <row r="14" spans="1:9" ht="22.5" customHeight="1" x14ac:dyDescent="0.2">
      <c r="A14" s="13"/>
      <c r="B14" s="130" t="s">
        <v>78</v>
      </c>
      <c r="C14" s="131"/>
      <c r="D14" s="132"/>
      <c r="E14" s="81">
        <f>G14*Données!$C$23+(1-G14)*Données!$C$24</f>
        <v>0.12712390036572108</v>
      </c>
      <c r="F14" s="67" t="s">
        <v>39</v>
      </c>
      <c r="G14" s="69">
        <f>F39/(F39+F38)</f>
        <v>0.45752199268557875</v>
      </c>
      <c r="H14" s="13"/>
    </row>
    <row r="15" spans="1:9" ht="22.5" customHeight="1" x14ac:dyDescent="0.2">
      <c r="A15" s="13"/>
      <c r="B15" s="130" t="s">
        <v>80</v>
      </c>
      <c r="C15" s="131"/>
      <c r="D15" s="132"/>
      <c r="E15" s="81">
        <f>Données!$C$16/(Données!$C$16+Données!$C$15)*(1-Données!$C$12)*Données!$C$23+Données!$C$15/(Données!$C$15+Données!$C$16)*Données!$C$24</f>
        <v>9.4E-2</v>
      </c>
      <c r="F15" s="70" t="s">
        <v>9</v>
      </c>
      <c r="G15" s="63"/>
      <c r="H15" s="13"/>
    </row>
    <row r="16" spans="1:9" ht="22.5" customHeight="1" x14ac:dyDescent="0.2">
      <c r="A16" s="13"/>
      <c r="B16" s="130" t="s">
        <v>81</v>
      </c>
      <c r="C16" s="131"/>
      <c r="D16" s="132"/>
      <c r="E16" s="81">
        <f>G14*(1-Données!$C$12)*Données!$C$23+(1-G14)*Données!$C$24</f>
        <v>0.11339824058515371</v>
      </c>
      <c r="F16" s="70" t="s">
        <v>9</v>
      </c>
      <c r="G16" s="63"/>
      <c r="H16" s="13"/>
    </row>
    <row r="17" spans="1:8" ht="15.75" x14ac:dyDescent="0.2">
      <c r="A17" s="13"/>
      <c r="B17" s="65"/>
      <c r="C17" s="13"/>
      <c r="D17" s="13"/>
      <c r="E17" s="66"/>
      <c r="F17" s="70"/>
      <c r="G17" s="63"/>
      <c r="H17" s="13"/>
    </row>
    <row r="18" spans="1:8" ht="15.75" x14ac:dyDescent="0.2">
      <c r="B18" s="8"/>
      <c r="E18" s="52"/>
      <c r="F18" s="53"/>
      <c r="G18" s="51"/>
    </row>
    <row r="19" spans="1:8" ht="15" customHeight="1" x14ac:dyDescent="0.2">
      <c r="A19" s="13"/>
      <c r="B19" s="62" t="s">
        <v>40</v>
      </c>
      <c r="C19" s="63"/>
      <c r="D19" s="63"/>
      <c r="E19" s="63"/>
      <c r="F19" s="63"/>
      <c r="G19" s="13"/>
      <c r="H19" s="13"/>
    </row>
    <row r="20" spans="1:8" ht="8.25" customHeight="1" x14ac:dyDescent="0.2">
      <c r="A20" s="13"/>
      <c r="B20" s="99"/>
      <c r="C20" s="100"/>
      <c r="D20" s="100"/>
      <c r="E20" s="63"/>
      <c r="F20" s="63"/>
      <c r="G20" s="13"/>
      <c r="H20" s="13"/>
    </row>
    <row r="21" spans="1:8" ht="18" x14ac:dyDescent="0.2">
      <c r="A21" s="13"/>
      <c r="B21" s="130" t="s">
        <v>69</v>
      </c>
      <c r="C21" s="136"/>
      <c r="D21" s="137"/>
      <c r="E21" s="81">
        <f>Données!$C$24</f>
        <v>0.15</v>
      </c>
      <c r="F21" s="63"/>
      <c r="G21" s="63"/>
      <c r="H21" s="13"/>
    </row>
    <row r="22" spans="1:8" ht="18" x14ac:dyDescent="0.2">
      <c r="A22" s="13"/>
      <c r="B22" s="130" t="s">
        <v>94</v>
      </c>
      <c r="C22" s="131"/>
      <c r="D22" s="132"/>
      <c r="E22" s="102">
        <f>Données!C23</f>
        <v>0.1</v>
      </c>
      <c r="F22" s="63"/>
      <c r="G22" s="63"/>
      <c r="H22" s="13"/>
    </row>
    <row r="23" spans="1:8" ht="15.75" x14ac:dyDescent="0.2">
      <c r="A23" s="13"/>
      <c r="B23" s="65"/>
      <c r="C23" s="13"/>
      <c r="D23" s="13"/>
      <c r="E23" s="72"/>
      <c r="F23" s="63"/>
      <c r="G23" s="63"/>
      <c r="H23" s="13"/>
    </row>
    <row r="25" spans="1:8" ht="15.75" x14ac:dyDescent="0.2">
      <c r="A25" s="11"/>
      <c r="B25" s="56" t="s">
        <v>28</v>
      </c>
      <c r="C25" s="11"/>
      <c r="D25" s="11"/>
      <c r="E25" s="11"/>
      <c r="F25" s="11"/>
      <c r="G25" s="11"/>
      <c r="H25" s="6" t="s">
        <v>95</v>
      </c>
    </row>
    <row r="26" spans="1:8" ht="8.25" customHeight="1" x14ac:dyDescent="0.2">
      <c r="A26" s="11"/>
      <c r="B26" s="59"/>
      <c r="C26" s="11"/>
      <c r="D26" s="11"/>
      <c r="E26" s="11"/>
      <c r="F26" s="11"/>
      <c r="G26" s="11"/>
    </row>
    <row r="27" spans="1:8" ht="21.75" customHeight="1" x14ac:dyDescent="0.2">
      <c r="A27" s="11"/>
      <c r="B27" s="125" t="s">
        <v>73</v>
      </c>
      <c r="C27" s="128"/>
      <c r="D27" s="128"/>
      <c r="E27" s="129"/>
      <c r="F27" s="82">
        <f>$C$7/(1+$E$13)+$C$8/(1+$E$13)^2</f>
        <v>155.45979207303583</v>
      </c>
      <c r="G27" s="11"/>
    </row>
    <row r="28" spans="1:8" ht="21.75" customHeight="1" x14ac:dyDescent="0.2">
      <c r="A28" s="11"/>
      <c r="B28" s="86" t="s">
        <v>74</v>
      </c>
      <c r="C28" s="83"/>
      <c r="D28" s="84"/>
      <c r="E28" s="85"/>
      <c r="F28" s="82">
        <f>$C$7/(1+$E$14)+$C$8/(1+$E$14)^2</f>
        <v>152.55423474764845</v>
      </c>
      <c r="G28" s="11"/>
    </row>
    <row r="29" spans="1:8" ht="21.75" customHeight="1" x14ac:dyDescent="0.2">
      <c r="A29" s="11"/>
      <c r="B29" s="125" t="s">
        <v>75</v>
      </c>
      <c r="C29" s="128"/>
      <c r="D29" s="128"/>
      <c r="E29" s="129"/>
      <c r="F29" s="82">
        <f>D7/(1+$E$15)+D8/(1+$E$15)^2</f>
        <v>157.0373885812258</v>
      </c>
      <c r="G29" s="11"/>
    </row>
    <row r="30" spans="1:8" ht="21.75" customHeight="1" x14ac:dyDescent="0.2">
      <c r="A30" s="11"/>
      <c r="B30" s="125" t="s">
        <v>76</v>
      </c>
      <c r="C30" s="128"/>
      <c r="D30" s="128"/>
      <c r="E30" s="129"/>
      <c r="F30" s="82">
        <f>$D$7/(1+$E$16)+$D$8/(1+$E$16)^2</f>
        <v>152.27029159404699</v>
      </c>
      <c r="G30" s="11"/>
    </row>
    <row r="31" spans="1:8" ht="21.75" customHeight="1" x14ac:dyDescent="0.2">
      <c r="A31" s="11"/>
      <c r="B31" s="125" t="s">
        <v>77</v>
      </c>
      <c r="C31" s="126"/>
      <c r="D31" s="126"/>
      <c r="E31" s="127"/>
      <c r="F31" s="82">
        <f>$D$7/(1+$E$21)+$D$8/(1+$E$21)^2+$E$7/(1+$E$22)+$E$8/(1+$E$22)^2</f>
        <v>147.53876798575203</v>
      </c>
      <c r="G31" s="11"/>
      <c r="H31" s="6" t="s">
        <v>98</v>
      </c>
    </row>
    <row r="32" spans="1:8" ht="21.75" customHeight="1" x14ac:dyDescent="0.2">
      <c r="A32" s="11"/>
      <c r="B32" s="133" t="s">
        <v>93</v>
      </c>
      <c r="C32" s="134"/>
      <c r="D32" s="134"/>
      <c r="E32" s="135"/>
      <c r="F32" s="98">
        <f>$D$7/(1+$E$21)+$D$8/(1+$E$21)^2</f>
        <v>143.89413988657847</v>
      </c>
      <c r="G32" s="61"/>
      <c r="H32" s="55"/>
    </row>
    <row r="33" spans="1:8" ht="21.75" customHeight="1" x14ac:dyDescent="0.2">
      <c r="A33" s="11"/>
      <c r="B33" s="133" t="s">
        <v>92</v>
      </c>
      <c r="C33" s="134"/>
      <c r="D33" s="134"/>
      <c r="E33" s="135"/>
      <c r="F33" s="98">
        <f>$E$7/(1+E22)+$E$8/(1+E22)^2</f>
        <v>3.6446280991735556</v>
      </c>
      <c r="G33" s="61"/>
      <c r="H33" s="106" t="s">
        <v>96</v>
      </c>
    </row>
    <row r="34" spans="1:8" ht="15.75" x14ac:dyDescent="0.2">
      <c r="A34" s="11"/>
      <c r="B34" s="23"/>
      <c r="C34" s="11"/>
      <c r="D34" s="11"/>
      <c r="E34" s="11"/>
      <c r="F34" s="60"/>
      <c r="G34" s="61"/>
    </row>
    <row r="35" spans="1:8" ht="15.75" x14ac:dyDescent="0.2">
      <c r="B35" s="8"/>
      <c r="F35" s="54"/>
      <c r="G35" s="55"/>
      <c r="H35" s="55"/>
    </row>
    <row r="36" spans="1:8" ht="15.75" x14ac:dyDescent="0.2">
      <c r="A36" s="11"/>
      <c r="B36" s="56" t="s">
        <v>29</v>
      </c>
      <c r="C36" s="11"/>
      <c r="D36" s="11"/>
      <c r="E36" s="11"/>
      <c r="F36" s="60"/>
      <c r="G36" s="61"/>
      <c r="H36" s="6" t="s">
        <v>97</v>
      </c>
    </row>
    <row r="37" spans="1:8" ht="8.25" customHeight="1" x14ac:dyDescent="0.2">
      <c r="A37" s="11"/>
      <c r="B37" s="11"/>
      <c r="C37" s="11"/>
      <c r="D37" s="11"/>
      <c r="E37" s="61"/>
      <c r="F37" s="11"/>
      <c r="G37" s="11"/>
    </row>
    <row r="38" spans="1:8" ht="21" customHeight="1" x14ac:dyDescent="0.2">
      <c r="A38" s="11"/>
      <c r="B38" s="125" t="s">
        <v>72</v>
      </c>
      <c r="C38" s="128"/>
      <c r="D38" s="128"/>
      <c r="E38" s="129"/>
      <c r="F38" s="82">
        <f>G7/(1+$E$21)+G8/(1+$E$21)^2</f>
        <v>82.998109640831757</v>
      </c>
      <c r="G38" s="11"/>
    </row>
    <row r="39" spans="1:8" ht="21" customHeight="1" x14ac:dyDescent="0.2">
      <c r="A39" s="11"/>
      <c r="B39" s="125" t="s">
        <v>82</v>
      </c>
      <c r="C39" s="128"/>
      <c r="D39" s="128"/>
      <c r="E39" s="129"/>
      <c r="F39" s="82">
        <f>F7/(1+$E$22)+F8/(1+$E$22)^2</f>
        <v>69.999999999999986</v>
      </c>
      <c r="G39" s="11"/>
    </row>
    <row r="40" spans="1:8" ht="21" customHeight="1" x14ac:dyDescent="0.2">
      <c r="A40" s="11"/>
      <c r="B40" s="125" t="s">
        <v>83</v>
      </c>
      <c r="C40" s="128"/>
      <c r="D40" s="128"/>
      <c r="E40" s="129"/>
      <c r="F40" s="82">
        <f>F38+F39</f>
        <v>152.99810964083173</v>
      </c>
      <c r="G40" s="11"/>
    </row>
    <row r="41" spans="1:8" x14ac:dyDescent="0.2">
      <c r="A41" s="11"/>
      <c r="B41" s="11"/>
      <c r="C41" s="11"/>
      <c r="D41" s="11"/>
      <c r="E41" s="11"/>
      <c r="F41" s="11"/>
      <c r="G41" s="11"/>
    </row>
  </sheetData>
  <mergeCells count="15">
    <mergeCell ref="B31:E31"/>
    <mergeCell ref="B39:E39"/>
    <mergeCell ref="B40:E40"/>
    <mergeCell ref="B13:D13"/>
    <mergeCell ref="B14:D14"/>
    <mergeCell ref="B15:D15"/>
    <mergeCell ref="B16:D16"/>
    <mergeCell ref="B38:E38"/>
    <mergeCell ref="B27:E27"/>
    <mergeCell ref="B29:E29"/>
    <mergeCell ref="B30:E30"/>
    <mergeCell ref="B32:E32"/>
    <mergeCell ref="B33:E33"/>
    <mergeCell ref="B21:D21"/>
    <mergeCell ref="B22:D22"/>
  </mergeCells>
  <pageMargins left="0.75" right="0.75" top="1" bottom="1" header="0.5" footer="0.5"/>
  <pageSetup paperSize="9" orientation="portrait" horizontalDpi="360" verticalDpi="360" r:id="rId1"/>
  <headerFooter alignWithMargins="0"/>
  <rowBreaks count="1" manualBreakCount="1">
    <brk id="21" max="655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"/>
  <sheetViews>
    <sheetView workbookViewId="0"/>
  </sheetViews>
  <sheetFormatPr baseColWidth="10" defaultColWidth="8.77734375" defaultRowHeight="15" x14ac:dyDescent="0.2"/>
  <cols>
    <col min="1" max="1" width="3.33203125" style="4" customWidth="1"/>
    <col min="2" max="5" width="9.44140625" style="4" customWidth="1"/>
    <col min="6" max="9" width="8.77734375" style="4"/>
    <col min="10" max="10" width="2.77734375" style="4" customWidth="1"/>
    <col min="11" max="16384" width="8.77734375" style="4"/>
  </cols>
  <sheetData>
    <row r="1" spans="1:11" ht="18" x14ac:dyDescent="0.2">
      <c r="A1" s="3" t="s">
        <v>3</v>
      </c>
    </row>
    <row r="2" spans="1:11" ht="15.75" x14ac:dyDescent="0.2">
      <c r="B2" s="5"/>
    </row>
    <row r="3" spans="1:11" ht="18.75" x14ac:dyDescent="0.2">
      <c r="A3" s="13"/>
      <c r="B3" s="26" t="s">
        <v>84</v>
      </c>
      <c r="C3" s="13"/>
      <c r="D3" s="13"/>
      <c r="E3" s="13"/>
      <c r="F3" s="13"/>
      <c r="G3" s="13"/>
      <c r="H3" s="13"/>
      <c r="I3" s="13"/>
      <c r="K3" s="2" t="s">
        <v>91</v>
      </c>
    </row>
    <row r="4" spans="1:11" ht="15.75" x14ac:dyDescent="0.2">
      <c r="A4" s="13"/>
      <c r="B4" s="73"/>
      <c r="C4" s="13"/>
      <c r="D4" s="13"/>
      <c r="E4" s="13"/>
      <c r="F4" s="13"/>
      <c r="G4" s="13"/>
      <c r="H4" s="13"/>
      <c r="I4" s="13"/>
    </row>
    <row r="5" spans="1:11" ht="22.5" customHeight="1" x14ac:dyDescent="0.2">
      <c r="A5" s="13"/>
      <c r="B5" s="121" t="s">
        <v>4</v>
      </c>
      <c r="C5" s="122"/>
      <c r="D5" s="121" t="s">
        <v>5</v>
      </c>
      <c r="E5" s="122"/>
      <c r="F5" s="75"/>
      <c r="G5" s="13"/>
      <c r="H5" s="13"/>
      <c r="I5" s="13"/>
    </row>
    <row r="6" spans="1:11" ht="22.5" customHeight="1" x14ac:dyDescent="0.2">
      <c r="A6" s="13"/>
      <c r="B6" s="43" t="s">
        <v>6</v>
      </c>
      <c r="C6" s="27">
        <f>Données!C7</f>
        <v>60</v>
      </c>
      <c r="D6" s="27">
        <f>Données!C20</f>
        <v>100</v>
      </c>
      <c r="E6" s="43" t="s">
        <v>7</v>
      </c>
      <c r="F6" s="75"/>
      <c r="G6" s="28" t="s">
        <v>12</v>
      </c>
      <c r="H6" s="29">
        <f>D6</f>
        <v>100</v>
      </c>
      <c r="I6" s="13"/>
    </row>
    <row r="7" spans="1:11" ht="22.5" customHeight="1" x14ac:dyDescent="0.2">
      <c r="A7" s="13"/>
      <c r="B7" s="43" t="s">
        <v>8</v>
      </c>
      <c r="C7" s="27">
        <f>Données!C9</f>
        <v>40</v>
      </c>
      <c r="D7" s="27" t="s">
        <v>9</v>
      </c>
      <c r="E7" s="43" t="s">
        <v>9</v>
      </c>
      <c r="F7" s="75"/>
      <c r="G7" s="28" t="s">
        <v>9</v>
      </c>
      <c r="H7" s="13"/>
      <c r="I7" s="13"/>
    </row>
    <row r="8" spans="1:11" ht="22.5" customHeight="1" x14ac:dyDescent="0.2">
      <c r="A8" s="13"/>
      <c r="B8" s="43" t="s">
        <v>10</v>
      </c>
      <c r="C8" s="27">
        <f>D6-C6-C7</f>
        <v>0</v>
      </c>
      <c r="D8" s="27"/>
      <c r="E8" s="43"/>
      <c r="F8" s="75"/>
      <c r="G8" s="28"/>
      <c r="H8" s="13"/>
      <c r="I8" s="13"/>
    </row>
    <row r="9" spans="1:11" ht="22.5" customHeight="1" x14ac:dyDescent="0.2">
      <c r="A9" s="13"/>
      <c r="B9" s="44" t="s">
        <v>11</v>
      </c>
      <c r="C9" s="31">
        <f>C6+C7</f>
        <v>100</v>
      </c>
      <c r="D9" s="31">
        <f>D6</f>
        <v>100</v>
      </c>
      <c r="E9" s="44" t="s">
        <v>11</v>
      </c>
      <c r="F9" s="76"/>
      <c r="G9" s="13"/>
      <c r="H9" s="13"/>
      <c r="I9" s="13"/>
    </row>
    <row r="10" spans="1:11" x14ac:dyDescent="0.2">
      <c r="A10" s="13"/>
      <c r="B10" s="32"/>
      <c r="C10" s="32"/>
      <c r="D10" s="32"/>
      <c r="E10" s="32"/>
      <c r="F10" s="32"/>
      <c r="G10" s="13"/>
      <c r="H10" s="13"/>
      <c r="I10" s="13"/>
    </row>
    <row r="12" spans="1:11" ht="18.75" x14ac:dyDescent="0.2">
      <c r="A12" s="11"/>
      <c r="B12" s="33" t="s">
        <v>85</v>
      </c>
      <c r="C12" s="11"/>
      <c r="D12" s="11"/>
      <c r="E12" s="11"/>
      <c r="F12" s="11"/>
      <c r="G12" s="11"/>
      <c r="H12" s="11"/>
      <c r="I12" s="11"/>
    </row>
    <row r="13" spans="1:11" ht="15.75" x14ac:dyDescent="0.2">
      <c r="A13" s="11"/>
      <c r="B13" s="56"/>
      <c r="C13" s="11"/>
      <c r="D13" s="11"/>
      <c r="E13" s="11"/>
      <c r="F13" s="11"/>
      <c r="G13" s="11"/>
      <c r="H13" s="11"/>
      <c r="I13" s="11"/>
    </row>
    <row r="14" spans="1:11" ht="22.5" customHeight="1" x14ac:dyDescent="0.2">
      <c r="A14" s="11"/>
      <c r="B14" s="123" t="s">
        <v>13</v>
      </c>
      <c r="C14" s="124"/>
      <c r="D14" s="123" t="s">
        <v>14</v>
      </c>
      <c r="E14" s="124"/>
      <c r="F14" s="77"/>
      <c r="G14" s="11"/>
      <c r="H14" s="11"/>
      <c r="I14" s="11"/>
    </row>
    <row r="15" spans="1:11" ht="22.5" customHeight="1" x14ac:dyDescent="0.2">
      <c r="A15" s="11"/>
      <c r="B15" s="45" t="s">
        <v>15</v>
      </c>
      <c r="C15" s="34">
        <f>Données!$C$9</f>
        <v>40</v>
      </c>
      <c r="D15" s="34">
        <f>Données!$C$10</f>
        <v>130</v>
      </c>
      <c r="E15" s="45" t="s">
        <v>16</v>
      </c>
      <c r="F15" s="77"/>
      <c r="G15" s="11"/>
      <c r="H15" s="11"/>
      <c r="I15" s="11"/>
      <c r="K15" s="6" t="s">
        <v>62</v>
      </c>
    </row>
    <row r="16" spans="1:11" ht="22.5" customHeight="1" x14ac:dyDescent="0.2">
      <c r="A16" s="11"/>
      <c r="B16" s="45" t="s">
        <v>17</v>
      </c>
      <c r="C16" s="34">
        <f>Données!$C$7/Données!$C$5</f>
        <v>30</v>
      </c>
      <c r="D16" s="34"/>
      <c r="E16" s="45"/>
      <c r="F16" s="77"/>
      <c r="G16" s="11"/>
      <c r="H16" s="11"/>
      <c r="I16" s="11"/>
    </row>
    <row r="17" spans="1:14" ht="22.5" customHeight="1" x14ac:dyDescent="0.2">
      <c r="A17" s="11"/>
      <c r="B17" s="45" t="s">
        <v>18</v>
      </c>
      <c r="C17" s="89">
        <f>Données!C12*N17</f>
        <v>18</v>
      </c>
      <c r="D17" s="34"/>
      <c r="E17" s="45"/>
      <c r="F17" s="77"/>
      <c r="G17" s="11"/>
      <c r="H17" s="11"/>
      <c r="I17" s="11"/>
      <c r="K17" s="11" t="s">
        <v>63</v>
      </c>
      <c r="L17" s="11"/>
      <c r="M17" s="11"/>
      <c r="N17" s="11">
        <f>'Comptabilité (FP)'!D15-SUM('Comptabilité (FP)'!C15:C16)</f>
        <v>60</v>
      </c>
    </row>
    <row r="18" spans="1:14" ht="22.5" customHeight="1" x14ac:dyDescent="0.2">
      <c r="A18" s="11"/>
      <c r="B18" s="45" t="s">
        <v>19</v>
      </c>
      <c r="C18" s="89">
        <f>D15-SUM(C15:C17)</f>
        <v>42</v>
      </c>
      <c r="D18" s="34"/>
      <c r="E18" s="45"/>
      <c r="F18" s="77"/>
      <c r="G18" s="11"/>
      <c r="H18" s="11"/>
      <c r="I18" s="11"/>
    </row>
    <row r="19" spans="1:14" ht="22.5" customHeight="1" x14ac:dyDescent="0.2">
      <c r="A19" s="11"/>
      <c r="B19" s="46" t="s">
        <v>11</v>
      </c>
      <c r="C19" s="37">
        <f>SUM(C15:C18)</f>
        <v>130</v>
      </c>
      <c r="D19" s="37">
        <f>SUM(D15:D18)</f>
        <v>130</v>
      </c>
      <c r="E19" s="46" t="s">
        <v>11</v>
      </c>
      <c r="F19" s="78"/>
      <c r="G19" s="11"/>
      <c r="H19" s="11"/>
      <c r="I19" s="11"/>
    </row>
    <row r="20" spans="1:14" x14ac:dyDescent="0.2">
      <c r="A20" s="11"/>
      <c r="B20" s="38"/>
      <c r="C20" s="38"/>
      <c r="D20" s="38"/>
      <c r="E20" s="38"/>
      <c r="F20" s="38"/>
      <c r="G20" s="11"/>
      <c r="H20" s="11"/>
      <c r="I20" s="11"/>
    </row>
    <row r="22" spans="1:14" ht="18.75" x14ac:dyDescent="0.2">
      <c r="A22" s="13"/>
      <c r="B22" s="26" t="s">
        <v>86</v>
      </c>
      <c r="C22" s="13"/>
      <c r="D22" s="13"/>
      <c r="E22" s="13"/>
      <c r="F22" s="13"/>
      <c r="G22" s="13"/>
      <c r="H22" s="13"/>
      <c r="I22" s="13"/>
      <c r="K22" s="6" t="s">
        <v>67</v>
      </c>
    </row>
    <row r="23" spans="1:14" ht="15.75" x14ac:dyDescent="0.2">
      <c r="A23" s="13"/>
      <c r="B23" s="73"/>
      <c r="C23" s="13"/>
      <c r="D23" s="13"/>
      <c r="E23" s="13"/>
      <c r="F23" s="13"/>
      <c r="G23" s="13"/>
      <c r="H23" s="13"/>
      <c r="I23" s="13"/>
      <c r="K23" s="6"/>
    </row>
    <row r="24" spans="1:14" ht="22.5" customHeight="1" x14ac:dyDescent="0.2">
      <c r="A24" s="13"/>
      <c r="B24" s="43"/>
      <c r="C24" s="43" t="s">
        <v>4</v>
      </c>
      <c r="D24" s="43" t="s">
        <v>5</v>
      </c>
      <c r="E24" s="43"/>
      <c r="F24" s="75"/>
      <c r="G24" s="13"/>
      <c r="H24" s="13"/>
      <c r="I24" s="13"/>
    </row>
    <row r="25" spans="1:14" ht="22.5" customHeight="1" x14ac:dyDescent="0.2">
      <c r="A25" s="13"/>
      <c r="B25" s="43" t="s">
        <v>6</v>
      </c>
      <c r="C25" s="74">
        <f>Données!C7-'Comptabilité (FP)'!C16</f>
        <v>30</v>
      </c>
      <c r="D25" s="27">
        <f>Données!C20</f>
        <v>100</v>
      </c>
      <c r="E25" s="43" t="s">
        <v>7</v>
      </c>
      <c r="F25" s="75"/>
      <c r="G25" s="28" t="s">
        <v>12</v>
      </c>
      <c r="H25" s="39">
        <f>D25-D6</f>
        <v>0</v>
      </c>
      <c r="I25" s="13"/>
    </row>
    <row r="26" spans="1:14" ht="22.5" customHeight="1" x14ac:dyDescent="0.2">
      <c r="A26" s="13"/>
      <c r="B26" s="43" t="s">
        <v>8</v>
      </c>
      <c r="C26" s="74">
        <v>0</v>
      </c>
      <c r="D26" s="27">
        <f>(1-Données!C26)*C18</f>
        <v>0</v>
      </c>
      <c r="E26" s="43" t="s">
        <v>20</v>
      </c>
      <c r="F26" s="75"/>
      <c r="G26" s="40" t="s">
        <v>68</v>
      </c>
      <c r="H26" s="39">
        <f>Données!$C$26*C18</f>
        <v>42</v>
      </c>
      <c r="I26" s="13"/>
    </row>
    <row r="27" spans="1:14" ht="22.5" customHeight="1" x14ac:dyDescent="0.2">
      <c r="A27" s="13"/>
      <c r="B27" s="43" t="s">
        <v>10</v>
      </c>
      <c r="C27" s="41">
        <f>C8+D15-C17-Données!C26*C18</f>
        <v>70</v>
      </c>
      <c r="D27" s="27" t="s">
        <v>21</v>
      </c>
      <c r="E27" s="43" t="s">
        <v>9</v>
      </c>
      <c r="F27" s="75"/>
      <c r="G27" s="13" t="s">
        <v>9</v>
      </c>
      <c r="H27" s="13"/>
      <c r="I27" s="13"/>
    </row>
    <row r="28" spans="1:14" ht="22.5" customHeight="1" x14ac:dyDescent="0.2">
      <c r="A28" s="13"/>
      <c r="B28" s="44" t="s">
        <v>11</v>
      </c>
      <c r="C28" s="31">
        <f>SUM(C25:C27)</f>
        <v>100</v>
      </c>
      <c r="D28" s="31">
        <f>SUM(D25:D27)</f>
        <v>100</v>
      </c>
      <c r="E28" s="44" t="s">
        <v>11</v>
      </c>
      <c r="F28" s="76"/>
      <c r="G28" s="13"/>
      <c r="H28" s="13"/>
      <c r="I28" s="13"/>
    </row>
    <row r="29" spans="1:14" x14ac:dyDescent="0.2">
      <c r="A29" s="13"/>
      <c r="B29" s="32"/>
      <c r="C29" s="32"/>
      <c r="D29" s="32"/>
      <c r="E29" s="32"/>
      <c r="F29" s="32"/>
      <c r="G29" s="13"/>
      <c r="H29" s="13"/>
      <c r="I29" s="13"/>
    </row>
    <row r="31" spans="1:14" ht="18.75" x14ac:dyDescent="0.2">
      <c r="A31" s="11"/>
      <c r="B31" s="33" t="s">
        <v>87</v>
      </c>
      <c r="C31" s="11"/>
      <c r="D31" s="11"/>
      <c r="E31" s="11"/>
      <c r="F31" s="11"/>
      <c r="G31" s="11"/>
      <c r="H31" s="11"/>
      <c r="I31" s="11"/>
    </row>
    <row r="32" spans="1:14" ht="15.75" x14ac:dyDescent="0.2">
      <c r="A32" s="11"/>
      <c r="B32" s="56"/>
      <c r="C32" s="11"/>
      <c r="D32" s="11"/>
      <c r="E32" s="11"/>
      <c r="F32" s="11"/>
      <c r="G32" s="11"/>
      <c r="H32" s="11"/>
      <c r="I32" s="11"/>
    </row>
    <row r="33" spans="1:14" ht="22.5" customHeight="1" x14ac:dyDescent="0.2">
      <c r="A33" s="11"/>
      <c r="B33" s="123" t="s">
        <v>13</v>
      </c>
      <c r="C33" s="124"/>
      <c r="D33" s="123" t="s">
        <v>14</v>
      </c>
      <c r="E33" s="124"/>
      <c r="F33" s="77"/>
      <c r="G33" s="11"/>
      <c r="H33" s="11"/>
      <c r="I33" s="11"/>
    </row>
    <row r="34" spans="1:14" ht="22.5" customHeight="1" x14ac:dyDescent="0.2">
      <c r="A34" s="11"/>
      <c r="B34" s="45" t="s">
        <v>15</v>
      </c>
      <c r="C34" s="34">
        <f>Données!$C$9</f>
        <v>40</v>
      </c>
      <c r="D34" s="34">
        <f>Données!$C$10</f>
        <v>130</v>
      </c>
      <c r="E34" s="45" t="s">
        <v>16</v>
      </c>
      <c r="F34" s="77"/>
      <c r="G34" s="11"/>
      <c r="H34" s="11"/>
      <c r="I34" s="11"/>
      <c r="K34" s="6" t="s">
        <v>65</v>
      </c>
    </row>
    <row r="35" spans="1:14" ht="22.5" customHeight="1" x14ac:dyDescent="0.2">
      <c r="A35" s="11"/>
      <c r="B35" s="45" t="s">
        <v>17</v>
      </c>
      <c r="C35" s="34">
        <f>Données!$C$7/Données!$C$5</f>
        <v>30</v>
      </c>
      <c r="D35" s="34"/>
      <c r="E35" s="45"/>
      <c r="F35" s="77"/>
      <c r="G35" s="11"/>
      <c r="H35" s="11"/>
      <c r="I35" s="11"/>
    </row>
    <row r="36" spans="1:14" ht="22.5" customHeight="1" x14ac:dyDescent="0.2">
      <c r="A36" s="11"/>
      <c r="B36" s="45" t="s">
        <v>18</v>
      </c>
      <c r="C36" s="89">
        <f>Données!C12*N36</f>
        <v>18</v>
      </c>
      <c r="D36" s="34"/>
      <c r="E36" s="45"/>
      <c r="F36" s="77"/>
      <c r="G36" s="11"/>
      <c r="H36" s="11"/>
      <c r="I36" s="11"/>
      <c r="K36" s="11" t="s">
        <v>63</v>
      </c>
      <c r="L36" s="11"/>
      <c r="M36" s="11"/>
      <c r="N36" s="11">
        <f>'Comptabilité (FP)'!D34-SUM('Comptabilité (FP)'!C34:C35)</f>
        <v>60</v>
      </c>
    </row>
    <row r="37" spans="1:14" ht="22.5" customHeight="1" x14ac:dyDescent="0.2">
      <c r="A37" s="11"/>
      <c r="B37" s="45" t="s">
        <v>19</v>
      </c>
      <c r="C37" s="89">
        <f>D34-SUM(C34:C36)</f>
        <v>42</v>
      </c>
      <c r="D37" s="34"/>
      <c r="E37" s="45"/>
      <c r="F37" s="77"/>
      <c r="G37" s="11"/>
      <c r="H37" s="11"/>
      <c r="I37" s="11"/>
    </row>
    <row r="38" spans="1:14" ht="22.5" customHeight="1" x14ac:dyDescent="0.2">
      <c r="A38" s="11"/>
      <c r="B38" s="46" t="s">
        <v>11</v>
      </c>
      <c r="C38" s="37">
        <f>SUM(C34:C37)</f>
        <v>130</v>
      </c>
      <c r="D38" s="37">
        <f>SUM(D34:D37)</f>
        <v>130</v>
      </c>
      <c r="E38" s="46" t="s">
        <v>11</v>
      </c>
      <c r="F38" s="78"/>
      <c r="G38" s="11"/>
      <c r="H38" s="11"/>
      <c r="I38" s="11"/>
    </row>
    <row r="39" spans="1:14" x14ac:dyDescent="0.2">
      <c r="A39" s="11"/>
      <c r="B39" s="38"/>
      <c r="C39" s="38"/>
      <c r="D39" s="38"/>
      <c r="E39" s="38"/>
      <c r="F39" s="38"/>
      <c r="G39" s="11"/>
      <c r="H39" s="11"/>
      <c r="I39" s="11"/>
    </row>
    <row r="41" spans="1:14" ht="18.75" x14ac:dyDescent="0.2">
      <c r="A41" s="13"/>
      <c r="B41" s="26" t="s">
        <v>88</v>
      </c>
      <c r="C41" s="13"/>
      <c r="D41" s="13"/>
      <c r="E41" s="13"/>
      <c r="F41" s="13"/>
      <c r="G41" s="13"/>
      <c r="H41" s="13"/>
      <c r="I41" s="13"/>
      <c r="K41" s="6" t="s">
        <v>67</v>
      </c>
    </row>
    <row r="42" spans="1:14" ht="15.75" x14ac:dyDescent="0.2">
      <c r="A42" s="13"/>
      <c r="B42" s="73"/>
      <c r="C42" s="13"/>
      <c r="D42" s="13"/>
      <c r="E42" s="13"/>
      <c r="F42" s="13"/>
      <c r="G42" s="13"/>
      <c r="H42" s="13"/>
      <c r="I42" s="13"/>
    </row>
    <row r="43" spans="1:14" ht="22.5" customHeight="1" x14ac:dyDescent="0.2">
      <c r="A43" s="13"/>
      <c r="B43" s="121" t="s">
        <v>4</v>
      </c>
      <c r="C43" s="122"/>
      <c r="D43" s="121" t="s">
        <v>5</v>
      </c>
      <c r="E43" s="122"/>
      <c r="F43" s="75"/>
      <c r="G43" s="13"/>
      <c r="H43" s="13"/>
      <c r="I43" s="13"/>
    </row>
    <row r="44" spans="1:14" ht="22.5" customHeight="1" x14ac:dyDescent="0.2">
      <c r="A44" s="13"/>
      <c r="B44" s="43" t="s">
        <v>6</v>
      </c>
      <c r="C44" s="27">
        <v>0</v>
      </c>
      <c r="D44" s="27">
        <f>D25</f>
        <v>100</v>
      </c>
      <c r="E44" s="43" t="s">
        <v>7</v>
      </c>
      <c r="F44" s="75"/>
      <c r="G44" s="28" t="s">
        <v>9</v>
      </c>
      <c r="H44" s="29" t="s">
        <v>9</v>
      </c>
      <c r="I44" s="13"/>
    </row>
    <row r="45" spans="1:14" ht="22.5" customHeight="1" x14ac:dyDescent="0.2">
      <c r="A45" s="13"/>
      <c r="B45" s="43" t="s">
        <v>8</v>
      </c>
      <c r="C45" s="27">
        <v>0</v>
      </c>
      <c r="D45" s="41">
        <f>D26+(1-Données!C26)*'Comptabilité (FP)'!C37</f>
        <v>0</v>
      </c>
      <c r="E45" s="43" t="s">
        <v>20</v>
      </c>
      <c r="F45" s="75"/>
      <c r="G45" s="40" t="s">
        <v>68</v>
      </c>
      <c r="H45" s="39">
        <f>Données!$C$26*C37</f>
        <v>42</v>
      </c>
      <c r="I45" s="13"/>
    </row>
    <row r="46" spans="1:14" ht="22.5" customHeight="1" x14ac:dyDescent="0.2">
      <c r="A46" s="13"/>
      <c r="B46" s="43" t="s">
        <v>10</v>
      </c>
      <c r="C46" s="27">
        <f>C27+(D34-C34-C36-Données!C26*C37)</f>
        <v>100</v>
      </c>
      <c r="D46" s="27"/>
      <c r="E46" s="43"/>
      <c r="F46" s="75"/>
      <c r="G46" s="13" t="s">
        <v>9</v>
      </c>
      <c r="H46" s="13"/>
      <c r="I46" s="13"/>
    </row>
    <row r="47" spans="1:14" ht="22.5" customHeight="1" x14ac:dyDescent="0.2">
      <c r="A47" s="13"/>
      <c r="B47" s="44" t="s">
        <v>11</v>
      </c>
      <c r="C47" s="31">
        <f>SUM(C44:C46)</f>
        <v>100</v>
      </c>
      <c r="D47" s="31">
        <f>SUM(D44:D46)</f>
        <v>100</v>
      </c>
      <c r="E47" s="44" t="s">
        <v>11</v>
      </c>
      <c r="F47" s="76"/>
      <c r="G47" s="13"/>
      <c r="H47" s="13"/>
      <c r="I47" s="13"/>
    </row>
    <row r="48" spans="1:14" x14ac:dyDescent="0.2">
      <c r="A48" s="13"/>
      <c r="B48" s="32"/>
      <c r="C48" s="32"/>
      <c r="D48" s="32"/>
      <c r="E48" s="32"/>
      <c r="F48" s="32"/>
      <c r="G48" s="13"/>
      <c r="H48" s="13"/>
      <c r="I48" s="13"/>
    </row>
    <row r="50" spans="1:9" ht="18.75" x14ac:dyDescent="0.2">
      <c r="A50" s="13"/>
      <c r="B50" s="26" t="s">
        <v>89</v>
      </c>
      <c r="C50" s="13"/>
      <c r="D50" s="13"/>
      <c r="E50" s="13"/>
      <c r="F50" s="13"/>
      <c r="G50" s="13"/>
      <c r="H50" s="13"/>
      <c r="I50" s="13"/>
    </row>
    <row r="51" spans="1:9" ht="15.75" x14ac:dyDescent="0.2">
      <c r="A51" s="13"/>
      <c r="B51" s="73"/>
      <c r="C51" s="13"/>
      <c r="D51" s="13"/>
      <c r="E51" s="13"/>
      <c r="F51" s="13"/>
      <c r="G51" s="13"/>
      <c r="H51" s="13"/>
      <c r="I51" s="13"/>
    </row>
    <row r="52" spans="1:9" ht="22.5" customHeight="1" x14ac:dyDescent="0.2">
      <c r="A52" s="13"/>
      <c r="B52" s="121" t="s">
        <v>4</v>
      </c>
      <c r="C52" s="122"/>
      <c r="D52" s="121" t="s">
        <v>5</v>
      </c>
      <c r="E52" s="122"/>
      <c r="F52" s="75"/>
      <c r="G52" s="13"/>
      <c r="H52" s="13"/>
      <c r="I52" s="13"/>
    </row>
    <row r="53" spans="1:9" ht="22.5" customHeight="1" x14ac:dyDescent="0.2">
      <c r="A53" s="13"/>
      <c r="B53" s="43" t="s">
        <v>6</v>
      </c>
      <c r="C53" s="27">
        <v>0</v>
      </c>
      <c r="D53" s="27">
        <v>0</v>
      </c>
      <c r="E53" s="43" t="s">
        <v>7</v>
      </c>
      <c r="F53" s="75"/>
      <c r="G53" s="28" t="s">
        <v>12</v>
      </c>
      <c r="H53" s="29">
        <f>D53-D25+D54-D45</f>
        <v>-100</v>
      </c>
      <c r="I53" s="13"/>
    </row>
    <row r="54" spans="1:9" ht="22.5" customHeight="1" x14ac:dyDescent="0.2">
      <c r="A54" s="13"/>
      <c r="B54" s="43" t="s">
        <v>8</v>
      </c>
      <c r="C54" s="27">
        <v>0</v>
      </c>
      <c r="D54" s="27">
        <v>0</v>
      </c>
      <c r="E54" s="43" t="s">
        <v>20</v>
      </c>
      <c r="F54" s="75"/>
      <c r="G54" s="40" t="s">
        <v>9</v>
      </c>
      <c r="H54" s="29" t="s">
        <v>9</v>
      </c>
      <c r="I54" s="13"/>
    </row>
    <row r="55" spans="1:9" ht="22.5" customHeight="1" x14ac:dyDescent="0.2">
      <c r="A55" s="13"/>
      <c r="B55" s="43" t="s">
        <v>10</v>
      </c>
      <c r="C55" s="27">
        <v>0</v>
      </c>
      <c r="D55" s="27"/>
      <c r="E55" s="43"/>
      <c r="F55" s="75"/>
      <c r="G55" s="13" t="s">
        <v>9</v>
      </c>
      <c r="H55" s="13"/>
      <c r="I55" s="13"/>
    </row>
    <row r="56" spans="1:9" ht="22.5" customHeight="1" x14ac:dyDescent="0.2">
      <c r="A56" s="13"/>
      <c r="B56" s="44" t="s">
        <v>11</v>
      </c>
      <c r="C56" s="31">
        <f>SUM(C53:C55)</f>
        <v>0</v>
      </c>
      <c r="D56" s="31">
        <f>SUM(D53:D55)</f>
        <v>0</v>
      </c>
      <c r="E56" s="44" t="s">
        <v>11</v>
      </c>
      <c r="F56" s="76"/>
      <c r="G56" s="13"/>
      <c r="H56" s="13"/>
      <c r="I56" s="13"/>
    </row>
    <row r="57" spans="1:9" x14ac:dyDescent="0.2">
      <c r="A57" s="13"/>
      <c r="B57" s="13"/>
      <c r="C57" s="13"/>
      <c r="D57" s="13"/>
      <c r="E57" s="13"/>
      <c r="F57" s="13"/>
      <c r="G57" s="13"/>
      <c r="H57" s="13"/>
      <c r="I57" s="13"/>
    </row>
  </sheetData>
  <mergeCells count="10">
    <mergeCell ref="B43:C43"/>
    <mergeCell ref="D43:E43"/>
    <mergeCell ref="B52:C52"/>
    <mergeCell ref="D52:E52"/>
    <mergeCell ref="B5:C5"/>
    <mergeCell ref="D5:E5"/>
    <mergeCell ref="B14:C14"/>
    <mergeCell ref="D14:E14"/>
    <mergeCell ref="B33:C33"/>
    <mergeCell ref="D33:E33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workbookViewId="0"/>
  </sheetViews>
  <sheetFormatPr baseColWidth="10" defaultColWidth="8.77734375" defaultRowHeight="18.75" customHeight="1" x14ac:dyDescent="0.2"/>
  <cols>
    <col min="1" max="1" width="3.33203125" style="4" customWidth="1"/>
    <col min="2" max="2" width="8.77734375" style="4" customWidth="1"/>
    <col min="3" max="3" width="14.5546875" style="4" customWidth="1"/>
    <col min="4" max="4" width="14.77734375" style="4" customWidth="1"/>
    <col min="5" max="5" width="12.88671875" style="4" customWidth="1"/>
    <col min="6" max="6" width="10.21875" style="4" customWidth="1"/>
    <col min="7" max="7" width="10.6640625" style="4" customWidth="1"/>
    <col min="8" max="8" width="11.21875" style="4" customWidth="1"/>
    <col min="9" max="16384" width="8.77734375" style="4"/>
  </cols>
  <sheetData>
    <row r="1" spans="1:7" ht="18.75" customHeight="1" x14ac:dyDescent="0.2">
      <c r="A1" s="3" t="s">
        <v>100</v>
      </c>
    </row>
    <row r="2" spans="1:7" ht="18.75" customHeight="1" x14ac:dyDescent="0.2">
      <c r="B2" s="3"/>
    </row>
    <row r="3" spans="1:7" ht="18.75" customHeight="1" x14ac:dyDescent="0.2">
      <c r="A3" s="11"/>
      <c r="B3" s="56" t="s">
        <v>22</v>
      </c>
      <c r="C3" s="11"/>
      <c r="D3" s="11"/>
      <c r="E3" s="11"/>
      <c r="F3" s="11"/>
      <c r="G3" s="11"/>
    </row>
    <row r="4" spans="1:7" ht="6" customHeight="1" x14ac:dyDescent="0.2">
      <c r="A4" s="11"/>
      <c r="B4" s="11"/>
      <c r="C4" s="11"/>
      <c r="D4" s="11"/>
      <c r="E4" s="11"/>
      <c r="F4" s="11"/>
      <c r="G4" s="11"/>
    </row>
    <row r="5" spans="1:7" ht="18.75" customHeight="1" x14ac:dyDescent="0.2">
      <c r="A5" s="11"/>
      <c r="B5" s="45" t="s">
        <v>23</v>
      </c>
      <c r="C5" s="79" t="s">
        <v>24</v>
      </c>
      <c r="D5" s="45" t="s">
        <v>25</v>
      </c>
      <c r="E5" s="11"/>
      <c r="F5" s="79" t="s">
        <v>46</v>
      </c>
      <c r="G5" s="11"/>
    </row>
    <row r="6" spans="1:7" ht="18.75" customHeight="1" x14ac:dyDescent="0.2">
      <c r="A6" s="11"/>
      <c r="B6" s="45">
        <v>0</v>
      </c>
      <c r="C6" s="80">
        <f>-Données!$C$7-Données!$C$9</f>
        <v>-100</v>
      </c>
      <c r="D6" s="80">
        <f>-'Comptabilité (FP)'!H6</f>
        <v>-100</v>
      </c>
      <c r="E6" s="11"/>
      <c r="F6" s="45">
        <f>C6-D6</f>
        <v>0</v>
      </c>
      <c r="G6" s="11"/>
    </row>
    <row r="7" spans="1:7" ht="18.75" customHeight="1" x14ac:dyDescent="0.2">
      <c r="A7" s="11"/>
      <c r="B7" s="45">
        <v>1</v>
      </c>
      <c r="C7" s="80">
        <f>'Comptabilité (FP)'!D15-'Comptabilité (FP)'!C17-('Comptabilité (FP)'!C27-'Comptabilité (FP)'!C8)</f>
        <v>42</v>
      </c>
      <c r="D7" s="80">
        <f>'Comptabilité (FP)'!H26-'Comptabilité (FP)'!H25</f>
        <v>42</v>
      </c>
      <c r="E7" s="11"/>
      <c r="F7" s="45">
        <f>C7-D7</f>
        <v>0</v>
      </c>
      <c r="G7" s="11"/>
    </row>
    <row r="8" spans="1:7" ht="18.75" customHeight="1" x14ac:dyDescent="0.2">
      <c r="A8" s="11"/>
      <c r="B8" s="45">
        <v>2</v>
      </c>
      <c r="C8" s="80">
        <f>'Comptabilité (FP)'!D34-'Comptabilité (FP)'!C34-'Comptabilité (FP)'!C36-(0-'Comptabilité (FP)'!C27)</f>
        <v>142</v>
      </c>
      <c r="D8" s="80">
        <f>'Comptabilité (FP)'!H45-'Comptabilité (FP)'!H53</f>
        <v>142</v>
      </c>
      <c r="E8" s="11"/>
      <c r="F8" s="45">
        <f>C8-D8</f>
        <v>0</v>
      </c>
      <c r="G8" s="11"/>
    </row>
    <row r="9" spans="1:7" ht="18.75" customHeight="1" x14ac:dyDescent="0.2">
      <c r="A9" s="11"/>
      <c r="B9" s="57"/>
      <c r="C9" s="58"/>
      <c r="D9" s="58"/>
      <c r="E9" s="11"/>
      <c r="F9" s="57"/>
      <c r="G9" s="11"/>
    </row>
    <row r="10" spans="1:7" ht="18.75" customHeight="1" x14ac:dyDescent="0.2">
      <c r="B10" s="49"/>
      <c r="C10" s="51"/>
      <c r="D10" s="51"/>
      <c r="E10" s="51"/>
      <c r="F10" s="51"/>
    </row>
    <row r="11" spans="1:7" ht="18.75" customHeight="1" x14ac:dyDescent="0.2">
      <c r="A11" s="13"/>
      <c r="B11" s="62" t="s">
        <v>26</v>
      </c>
      <c r="C11" s="63"/>
      <c r="D11" s="63"/>
      <c r="E11" s="63"/>
      <c r="F11" s="63"/>
    </row>
    <row r="12" spans="1:7" ht="7.5" customHeight="1" x14ac:dyDescent="0.2">
      <c r="A12" s="13"/>
      <c r="B12" s="109"/>
      <c r="C12" s="63"/>
      <c r="D12" s="63"/>
      <c r="E12" s="63"/>
      <c r="F12" s="63"/>
    </row>
    <row r="13" spans="1:7" ht="21" customHeight="1" x14ac:dyDescent="0.2">
      <c r="A13" s="13"/>
      <c r="B13" s="103" t="s">
        <v>70</v>
      </c>
      <c r="C13" s="27"/>
      <c r="D13" s="110">
        <f>Données!$C$24</f>
        <v>0.15</v>
      </c>
      <c r="E13" s="63"/>
      <c r="F13" s="63"/>
    </row>
    <row r="14" spans="1:7" ht="18.75" customHeight="1" x14ac:dyDescent="0.2">
      <c r="A14" s="13"/>
      <c r="B14" s="65"/>
      <c r="C14" s="13"/>
      <c r="D14" s="111"/>
      <c r="E14" s="63"/>
      <c r="F14" s="63"/>
    </row>
    <row r="15" spans="1:7" ht="18.75" customHeight="1" x14ac:dyDescent="0.2">
      <c r="B15" s="8"/>
      <c r="D15" s="112"/>
      <c r="E15" s="51"/>
      <c r="F15" s="51"/>
    </row>
    <row r="16" spans="1:7" ht="18.75" customHeight="1" x14ac:dyDescent="0.2">
      <c r="A16" s="13"/>
      <c r="B16" s="62" t="s">
        <v>27</v>
      </c>
      <c r="C16" s="13"/>
      <c r="D16" s="111"/>
      <c r="E16" s="63"/>
      <c r="F16" s="63"/>
    </row>
    <row r="17" spans="1:6" ht="7.5" customHeight="1" x14ac:dyDescent="0.2">
      <c r="A17" s="13"/>
      <c r="B17" s="65"/>
      <c r="C17" s="13"/>
      <c r="D17" s="111"/>
      <c r="E17" s="63"/>
      <c r="F17" s="63"/>
    </row>
    <row r="18" spans="1:6" ht="21" customHeight="1" x14ac:dyDescent="0.2">
      <c r="A18" s="13"/>
      <c r="B18" s="103" t="s">
        <v>69</v>
      </c>
      <c r="C18" s="101"/>
      <c r="D18" s="110">
        <f>Données!$C$24</f>
        <v>0.15</v>
      </c>
      <c r="E18" s="63"/>
      <c r="F18" s="63"/>
    </row>
    <row r="19" spans="1:6" ht="18.75" customHeight="1" x14ac:dyDescent="0.2">
      <c r="A19" s="13"/>
      <c r="B19" s="65"/>
      <c r="C19" s="71"/>
      <c r="D19" s="111"/>
      <c r="E19" s="63"/>
      <c r="F19" s="63"/>
    </row>
    <row r="21" spans="1:6" ht="18.75" customHeight="1" x14ac:dyDescent="0.2">
      <c r="A21" s="11"/>
      <c r="B21" s="56" t="s">
        <v>28</v>
      </c>
      <c r="C21" s="11"/>
      <c r="D21" s="11"/>
      <c r="E21" s="11"/>
      <c r="F21" s="11"/>
    </row>
    <row r="22" spans="1:6" ht="7.5" customHeight="1" x14ac:dyDescent="0.2">
      <c r="A22" s="11"/>
      <c r="B22" s="59"/>
      <c r="C22" s="11"/>
      <c r="D22" s="11"/>
      <c r="E22" s="11"/>
      <c r="F22" s="11"/>
    </row>
    <row r="23" spans="1:6" ht="21" customHeight="1" x14ac:dyDescent="0.2">
      <c r="A23" s="11"/>
      <c r="B23" s="113" t="s">
        <v>71</v>
      </c>
      <c r="C23" s="34"/>
      <c r="D23" s="114">
        <f>C7/(1+$D$13)+C8/(1+$D$13)^2</f>
        <v>143.89413988657847</v>
      </c>
      <c r="E23" s="115" t="s">
        <v>9</v>
      </c>
      <c r="F23" s="11"/>
    </row>
    <row r="24" spans="1:6" ht="18.75" customHeight="1" x14ac:dyDescent="0.2">
      <c r="A24" s="11"/>
      <c r="B24" s="116"/>
      <c r="C24" s="11"/>
      <c r="D24" s="117"/>
      <c r="E24" s="115"/>
      <c r="F24" s="11"/>
    </row>
    <row r="25" spans="1:6" ht="18.75" customHeight="1" x14ac:dyDescent="0.2">
      <c r="B25" s="8"/>
      <c r="D25" s="118"/>
      <c r="E25" s="119"/>
    </row>
    <row r="26" spans="1:6" ht="18.75" customHeight="1" x14ac:dyDescent="0.2">
      <c r="A26" s="11"/>
      <c r="B26" s="56" t="s">
        <v>29</v>
      </c>
      <c r="C26" s="11"/>
      <c r="D26" s="117"/>
      <c r="E26" s="115"/>
      <c r="F26" s="11"/>
    </row>
    <row r="27" spans="1:6" ht="7.5" customHeight="1" x14ac:dyDescent="0.2">
      <c r="A27" s="11"/>
      <c r="B27" s="116"/>
      <c r="C27" s="11"/>
      <c r="D27" s="117"/>
      <c r="E27" s="115"/>
      <c r="F27" s="11"/>
    </row>
    <row r="28" spans="1:6" ht="21" customHeight="1" x14ac:dyDescent="0.2">
      <c r="A28" s="11"/>
      <c r="B28" s="113" t="s">
        <v>72</v>
      </c>
      <c r="C28" s="34"/>
      <c r="D28" s="114">
        <f>D7/(1+$D$13)+D8/(1+$D$13)^2</f>
        <v>143.89413988657847</v>
      </c>
      <c r="E28" s="11"/>
      <c r="F28" s="11"/>
    </row>
    <row r="29" spans="1:6" ht="18.75" customHeight="1" x14ac:dyDescent="0.2">
      <c r="A29" s="11"/>
      <c r="B29" s="11"/>
      <c r="C29" s="11"/>
      <c r="D29" s="11"/>
      <c r="E29" s="11"/>
      <c r="F29" s="11"/>
    </row>
    <row r="54" spans="2:5" ht="18.75" customHeight="1" x14ac:dyDescent="0.2">
      <c r="B54" s="139" t="s">
        <v>43</v>
      </c>
      <c r="C54" s="140"/>
      <c r="D54" s="87" t="s">
        <v>44</v>
      </c>
    </row>
    <row r="55" spans="2:5" ht="18.75" customHeight="1" x14ac:dyDescent="0.2">
      <c r="B55" s="138">
        <v>0</v>
      </c>
      <c r="C55" s="138"/>
      <c r="D55" s="1">
        <v>116.45</v>
      </c>
    </row>
    <row r="56" spans="2:5" ht="18.75" customHeight="1" x14ac:dyDescent="0.2">
      <c r="B56" s="138">
        <v>1</v>
      </c>
      <c r="C56" s="138"/>
      <c r="D56" s="1">
        <v>119.51</v>
      </c>
    </row>
    <row r="58" spans="2:5" ht="18.75" customHeight="1" x14ac:dyDescent="0.2">
      <c r="B58" s="8" t="s">
        <v>41</v>
      </c>
      <c r="D58" s="4">
        <f>D56-D55</f>
        <v>3.0600000000000023</v>
      </c>
    </row>
    <row r="59" spans="2:5" ht="18.75" customHeight="1" x14ac:dyDescent="0.2">
      <c r="B59" s="8" t="s">
        <v>42</v>
      </c>
      <c r="D59" s="120">
        <f>27*1.15/1.15^2-27/1.15^2</f>
        <v>3.062381852551983</v>
      </c>
      <c r="E59" s="8" t="s">
        <v>45</v>
      </c>
    </row>
  </sheetData>
  <mergeCells count="3">
    <mergeCell ref="B55:C55"/>
    <mergeCell ref="B56:C56"/>
    <mergeCell ref="B54:C54"/>
  </mergeCells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>
    <oddFooter>&amp;L(c) François Longin&amp;Rwww.longin.fr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</vt:lpstr>
      <vt:lpstr>Comptabilité (FP et D)</vt:lpstr>
      <vt:lpstr>Flux et valeur (FP et D)</vt:lpstr>
      <vt:lpstr>Comptabilité (FP)</vt:lpstr>
      <vt:lpstr>Flux et valeur (FP)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Longin</dc:creator>
  <cp:lastModifiedBy>François Longin</cp:lastModifiedBy>
  <cp:lastPrinted>2009-03-16T14:48:54Z</cp:lastPrinted>
  <dcterms:created xsi:type="dcterms:W3CDTF">1998-03-06T15:18:15Z</dcterms:created>
  <dcterms:modified xsi:type="dcterms:W3CDTF">2019-05-27T10:43:43Z</dcterms:modified>
</cp:coreProperties>
</file>